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h\Documents\tax planners\"/>
    </mc:Choice>
  </mc:AlternateContent>
  <xr:revisionPtr revIDLastSave="0" documentId="13_ncr:1_{E0527CC1-C983-4269-A2CD-6463DC6B32A3}" xr6:coauthVersionLast="40" xr6:coauthVersionMax="40" xr10:uidLastSave="{00000000-0000-0000-0000-000000000000}"/>
  <workbookProtection workbookAlgorithmName="SHA-512" workbookHashValue="UX3wuYt/WcIw2fT/0yap5lYaB4cEHKRybr9JTJ0YN9qqVotuEFSCJlNGzy0D3Q+hEbDkLV9qOD0B0WUdbQsLdQ==" workbookSaltValue="+56kcC7PAs60LyA6UtFl7w==" workbookSpinCount="100000" lockStructure="1"/>
  <bookViews>
    <workbookView xWindow="29070" yWindow="-60" windowWidth="23325" windowHeight="11880" xr2:uid="{00000000-000D-0000-FFFF-FFFF00000000}"/>
  </bookViews>
  <sheets>
    <sheet name="1040 W4 PLANNER 2019" sheetId="1" r:id="rId1"/>
    <sheet name="W4 PLANNER 19 SUMMARY REPORT" sheetId="11" r:id="rId2"/>
    <sheet name="withholding" sheetId="3" state="hidden" r:id="rId3"/>
    <sheet name="SS PT SD SINT" sheetId="4" state="hidden" r:id="rId4"/>
    <sheet name="tax CCC CTC" sheetId="5" state="hidden" r:id="rId5"/>
    <sheet name="EIC" sheetId="6" state="hidden" r:id="rId6"/>
    <sheet name="state" sheetId="7" state="hidden" r:id="rId7"/>
    <sheet name="state withhold" sheetId="8" state="hidden" r:id="rId8"/>
    <sheet name="lists" sheetId="9" state="hidden" r:id="rId9"/>
    <sheet name="list 2" sheetId="10" state="hidden" r:id="rId10"/>
  </sheets>
  <definedNames>
    <definedName name="Blind">lists!$B$2:$B$6</definedName>
    <definedName name="married">lists!$D$2:$D$3</definedName>
    <definedName name="payperiod">lists!$C$2:$C$6</definedName>
    <definedName name="_xlnm.Print_Area" localSheetId="0">'1040 W4 PLANNER 2019'!$A$1:$R$156</definedName>
    <definedName name="_xlnm.Print_Area" localSheetId="1">'W4 PLANNER 19 SUMMARY REPORT'!$A$1:$R$49</definedName>
    <definedName name="status">lists!$A$2:$A$6</definedName>
  </definedNames>
  <calcPr calcId="191029"/>
</workbook>
</file>

<file path=xl/calcChain.xml><?xml version="1.0" encoding="utf-8"?>
<calcChain xmlns="http://schemas.openxmlformats.org/spreadsheetml/2006/main">
  <c r="V22" i="8" l="1"/>
  <c r="W22" i="8" s="1"/>
  <c r="U22" i="8"/>
  <c r="P22" i="8"/>
  <c r="Q22" i="8" s="1"/>
  <c r="R22" i="8" s="1"/>
  <c r="O22" i="8"/>
  <c r="N22" i="8"/>
  <c r="M22" i="8"/>
  <c r="V21" i="8"/>
  <c r="U21" i="8"/>
  <c r="W21" i="8" s="1"/>
  <c r="P21" i="8"/>
  <c r="O21" i="8"/>
  <c r="M21" i="8"/>
  <c r="Q21" i="8" s="1"/>
  <c r="R21" i="8" s="1"/>
  <c r="S21" i="8" s="1"/>
  <c r="V20" i="8"/>
  <c r="W20" i="8" s="1"/>
  <c r="U20" i="8"/>
  <c r="P20" i="8"/>
  <c r="Q20" i="8" s="1"/>
  <c r="R20" i="8" s="1"/>
  <c r="O20" i="8"/>
  <c r="N20" i="8"/>
  <c r="M20" i="8"/>
  <c r="V19" i="8"/>
  <c r="U19" i="8"/>
  <c r="W19" i="8" s="1"/>
  <c r="P19" i="8"/>
  <c r="O19" i="8"/>
  <c r="M19" i="8"/>
  <c r="Q19" i="8" s="1"/>
  <c r="R19" i="8" s="1"/>
  <c r="S19" i="8" s="1"/>
  <c r="V18" i="8"/>
  <c r="I22" i="8"/>
  <c r="I21" i="8"/>
  <c r="I20" i="8"/>
  <c r="I19" i="8"/>
  <c r="K10" i="8"/>
  <c r="J10" i="8"/>
  <c r="K9" i="8"/>
  <c r="J9" i="8"/>
  <c r="K8" i="8"/>
  <c r="J8" i="8"/>
  <c r="K7" i="8"/>
  <c r="J7" i="8"/>
  <c r="K6" i="8"/>
  <c r="J6" i="8"/>
  <c r="K5" i="8"/>
  <c r="J5" i="8"/>
  <c r="W10" i="8"/>
  <c r="X10" i="8" s="1"/>
  <c r="V10" i="8"/>
  <c r="U10" i="8"/>
  <c r="T10" i="8"/>
  <c r="V9" i="8"/>
  <c r="W9" i="8" s="1"/>
  <c r="X9" i="8" s="1"/>
  <c r="U9" i="8"/>
  <c r="T9" i="8"/>
  <c r="V8" i="8"/>
  <c r="W8" i="8" s="1"/>
  <c r="X8" i="8" s="1"/>
  <c r="U8" i="8"/>
  <c r="T8" i="8"/>
  <c r="V7" i="8"/>
  <c r="U7" i="8"/>
  <c r="T7" i="8"/>
  <c r="W6" i="8"/>
  <c r="X6" i="8" s="1"/>
  <c r="V6" i="8"/>
  <c r="U6" i="8"/>
  <c r="T6" i="8"/>
  <c r="V5" i="8"/>
  <c r="W5" i="8" s="1"/>
  <c r="X5" i="8" s="1"/>
  <c r="U5" i="8"/>
  <c r="T5" i="8"/>
  <c r="K125" i="1"/>
  <c r="P10" i="8"/>
  <c r="O10" i="8"/>
  <c r="S10" i="8" s="1"/>
  <c r="M10" i="8"/>
  <c r="Q10" i="8" s="1"/>
  <c r="R10" i="8" s="1"/>
  <c r="P9" i="8"/>
  <c r="Q9" i="8" s="1"/>
  <c r="R9" i="8" s="1"/>
  <c r="O9" i="8"/>
  <c r="M9" i="8"/>
  <c r="N9" i="8" s="1"/>
  <c r="Q8" i="8"/>
  <c r="R8" i="8" s="1"/>
  <c r="S8" i="8" s="1"/>
  <c r="P8" i="8"/>
  <c r="O8" i="8"/>
  <c r="M8" i="8"/>
  <c r="N8" i="8" s="1"/>
  <c r="P7" i="8"/>
  <c r="O7" i="8"/>
  <c r="M7" i="8"/>
  <c r="Q7" i="8" s="1"/>
  <c r="R7" i="8" s="1"/>
  <c r="S7" i="8" s="1"/>
  <c r="P6" i="8"/>
  <c r="O6" i="8"/>
  <c r="M6" i="8"/>
  <c r="N6" i="8" s="1"/>
  <c r="P5" i="8"/>
  <c r="Q5" i="8" s="1"/>
  <c r="R5" i="8" s="1"/>
  <c r="O5" i="8"/>
  <c r="S5" i="8" s="1"/>
  <c r="M5" i="8"/>
  <c r="N5" i="8" s="1"/>
  <c r="X21" i="8" l="1"/>
  <c r="K21" i="8" s="1"/>
  <c r="J21" i="8"/>
  <c r="S20" i="8"/>
  <c r="T20" i="8"/>
  <c r="J20" i="8"/>
  <c r="X20" i="8"/>
  <c r="K20" i="8" s="1"/>
  <c r="S22" i="8"/>
  <c r="T22" i="8" s="1"/>
  <c r="X19" i="8"/>
  <c r="K19" i="8" s="1"/>
  <c r="J19" i="8"/>
  <c r="X22" i="8"/>
  <c r="K22" i="8" s="1"/>
  <c r="J22" i="8"/>
  <c r="N19" i="8"/>
  <c r="T19" i="8" s="1"/>
  <c r="N21" i="8"/>
  <c r="T21" i="8" s="1"/>
  <c r="W7" i="8"/>
  <c r="X7" i="8" s="1"/>
  <c r="S9" i="8"/>
  <c r="N10" i="8"/>
  <c r="N7" i="8"/>
  <c r="Q6" i="8"/>
  <c r="R6" i="8" s="1"/>
  <c r="S6" i="8" s="1"/>
  <c r="C1" i="8" l="1"/>
  <c r="E32" i="4"/>
  <c r="E33" i="4" s="1"/>
  <c r="O52" i="3"/>
  <c r="O51" i="3"/>
  <c r="O50" i="3"/>
  <c r="O49" i="3"/>
  <c r="O46" i="3"/>
  <c r="O45" i="3"/>
  <c r="O44" i="3"/>
  <c r="O43" i="3"/>
  <c r="O30" i="3"/>
  <c r="O29" i="3"/>
  <c r="O28" i="3"/>
  <c r="O27" i="3"/>
  <c r="O26" i="3"/>
  <c r="O25" i="3"/>
  <c r="O21" i="3"/>
  <c r="O20" i="3"/>
  <c r="O19" i="3"/>
  <c r="O18" i="3"/>
  <c r="O17" i="3"/>
  <c r="O16" i="3"/>
  <c r="E52" i="3"/>
  <c r="E51" i="3"/>
  <c r="E50" i="3"/>
  <c r="E49" i="3"/>
  <c r="E46" i="3"/>
  <c r="E45" i="3"/>
  <c r="E44" i="3"/>
  <c r="E43" i="3"/>
  <c r="E30" i="3"/>
  <c r="E29" i="3"/>
  <c r="E28" i="3"/>
  <c r="E27" i="3"/>
  <c r="E26" i="3"/>
  <c r="E25" i="3"/>
  <c r="E21" i="3"/>
  <c r="E20" i="3"/>
  <c r="E19" i="3"/>
  <c r="E18" i="3"/>
  <c r="E17" i="3"/>
  <c r="E16" i="3"/>
  <c r="B32" i="4" l="1"/>
  <c r="G20" i="11" l="1"/>
  <c r="L13" i="11" l="1"/>
  <c r="K13" i="11"/>
  <c r="J13" i="11"/>
  <c r="I13" i="11"/>
  <c r="H13" i="11"/>
  <c r="G13" i="11"/>
  <c r="B13" i="11"/>
  <c r="A13" i="11"/>
  <c r="L12" i="11"/>
  <c r="K12" i="11"/>
  <c r="J12" i="11"/>
  <c r="I12" i="11"/>
  <c r="H12" i="11"/>
  <c r="G12" i="11"/>
  <c r="B12" i="11"/>
  <c r="A12" i="11"/>
  <c r="L11" i="11"/>
  <c r="K11" i="11"/>
  <c r="J11" i="11"/>
  <c r="I11" i="11"/>
  <c r="H11" i="11"/>
  <c r="G11" i="11"/>
  <c r="B11" i="11"/>
  <c r="A11" i="11"/>
  <c r="L10" i="11"/>
  <c r="K10" i="11"/>
  <c r="J10" i="11"/>
  <c r="I10" i="11"/>
  <c r="H10" i="11"/>
  <c r="G10" i="11"/>
  <c r="B10" i="11"/>
  <c r="A10" i="11"/>
  <c r="J125" i="1"/>
  <c r="F3" i="8" s="1"/>
  <c r="P16" i="11"/>
  <c r="J5" i="11"/>
  <c r="J4" i="11"/>
  <c r="N7" i="11"/>
  <c r="N6" i="11"/>
  <c r="R5" i="11"/>
  <c r="R4" i="11"/>
  <c r="N5" i="11"/>
  <c r="N4" i="11"/>
  <c r="D5" i="11"/>
  <c r="D4" i="11"/>
  <c r="D6" i="7"/>
  <c r="C15" i="7" s="1"/>
  <c r="L125" i="1"/>
  <c r="H3" i="8" s="1"/>
  <c r="L12" i="4"/>
  <c r="L11" i="4"/>
  <c r="L9" i="4"/>
  <c r="L8" i="4"/>
  <c r="E26" i="4"/>
  <c r="E24" i="4"/>
  <c r="L14" i="4"/>
  <c r="L13" i="4"/>
  <c r="K8" i="4"/>
  <c r="B33" i="4"/>
  <c r="B48" i="5"/>
  <c r="B30" i="5"/>
  <c r="B29" i="5"/>
  <c r="B45" i="5" s="1"/>
  <c r="K12" i="4"/>
  <c r="K11" i="4"/>
  <c r="K10" i="4"/>
  <c r="K9" i="4"/>
  <c r="K4" i="4"/>
  <c r="K7" i="4" s="1"/>
  <c r="L135" i="1"/>
  <c r="H18" i="8" s="1"/>
  <c r="J135" i="1"/>
  <c r="F18" i="8" s="1"/>
  <c r="I135" i="1"/>
  <c r="E18" i="8" s="1"/>
  <c r="H135" i="1"/>
  <c r="D18" i="8" s="1"/>
  <c r="G135" i="1"/>
  <c r="C18" i="8" s="1"/>
  <c r="C43" i="6"/>
  <c r="C42" i="6"/>
  <c r="C41" i="6"/>
  <c r="C40" i="6"/>
  <c r="C38" i="6"/>
  <c r="C37" i="6"/>
  <c r="C36" i="6"/>
  <c r="H19" i="5"/>
  <c r="H18" i="5"/>
  <c r="H22" i="5"/>
  <c r="H21" i="5"/>
  <c r="H20" i="5"/>
  <c r="H23" i="5" s="1"/>
  <c r="B18" i="5" s="1"/>
  <c r="G32" i="7"/>
  <c r="D19" i="5"/>
  <c r="I2" i="5"/>
  <c r="K128" i="1"/>
  <c r="G6" i="8" s="1"/>
  <c r="K127" i="1"/>
  <c r="G5" i="8" s="1"/>
  <c r="G3" i="8"/>
  <c r="V3" i="8" s="1"/>
  <c r="C14" i="5"/>
  <c r="B14" i="5" s="1"/>
  <c r="C9" i="5" s="1"/>
  <c r="B135" i="1"/>
  <c r="B18" i="8" s="1"/>
  <c r="L126" i="1"/>
  <c r="H4" i="8" s="1"/>
  <c r="J126" i="1"/>
  <c r="F4" i="8" s="1"/>
  <c r="I126" i="1"/>
  <c r="E4" i="8" s="1"/>
  <c r="H126" i="1"/>
  <c r="D4" i="8" s="1"/>
  <c r="G126" i="1"/>
  <c r="C4" i="8" s="1"/>
  <c r="U4" i="8" s="1"/>
  <c r="B126" i="1"/>
  <c r="B4" i="8" s="1"/>
  <c r="A126" i="1"/>
  <c r="A4" i="8" s="1"/>
  <c r="A128" i="1"/>
  <c r="A6" i="8" s="1"/>
  <c r="A127" i="1"/>
  <c r="A5" i="8" s="1"/>
  <c r="I125" i="1"/>
  <c r="E3" i="8" s="1"/>
  <c r="H125" i="1"/>
  <c r="D3" i="8" s="1"/>
  <c r="G125" i="1"/>
  <c r="C3" i="8" s="1"/>
  <c r="U3" i="8" s="1"/>
  <c r="B125" i="1"/>
  <c r="B3" i="8" s="1"/>
  <c r="P29" i="1"/>
  <c r="P24" i="1"/>
  <c r="P17" i="11" s="1"/>
  <c r="G128" i="1"/>
  <c r="C6" i="8"/>
  <c r="D10" i="7"/>
  <c r="P143" i="1"/>
  <c r="B136" i="1"/>
  <c r="B19" i="8" s="1"/>
  <c r="L127" i="1"/>
  <c r="H5" i="8"/>
  <c r="J127" i="1"/>
  <c r="F5" i="8"/>
  <c r="I127" i="1"/>
  <c r="E5" i="8" s="1"/>
  <c r="H127" i="1"/>
  <c r="D5" i="8"/>
  <c r="G127" i="1"/>
  <c r="C5" i="8"/>
  <c r="B127" i="1"/>
  <c r="B5" i="8"/>
  <c r="G22" i="8"/>
  <c r="G21" i="8"/>
  <c r="G20" i="8"/>
  <c r="G19" i="8"/>
  <c r="G18" i="8"/>
  <c r="D6" i="3"/>
  <c r="D25" i="3" s="1"/>
  <c r="K132" i="1"/>
  <c r="G10" i="8"/>
  <c r="K131" i="1"/>
  <c r="G9" i="8" s="1"/>
  <c r="K130" i="1"/>
  <c r="G8" i="8" s="1"/>
  <c r="K129" i="1"/>
  <c r="G7" i="8" s="1"/>
  <c r="K126" i="1"/>
  <c r="G4" i="8" s="1"/>
  <c r="V4" i="8" s="1"/>
  <c r="L139" i="1"/>
  <c r="H22" i="8"/>
  <c r="J139" i="1"/>
  <c r="F22" i="8"/>
  <c r="I139" i="1"/>
  <c r="E22" i="8" s="1"/>
  <c r="H139" i="1"/>
  <c r="D22" i="8"/>
  <c r="G139" i="1"/>
  <c r="C22" i="8" s="1"/>
  <c r="B139" i="1"/>
  <c r="B22" i="8"/>
  <c r="A139" i="1"/>
  <c r="A22" i="8" s="1"/>
  <c r="L138" i="1"/>
  <c r="H21" i="8"/>
  <c r="J138" i="1"/>
  <c r="F21" i="8" s="1"/>
  <c r="I138" i="1"/>
  <c r="E21" i="8" s="1"/>
  <c r="H138" i="1"/>
  <c r="D21" i="8" s="1"/>
  <c r="G138" i="1"/>
  <c r="C21" i="8"/>
  <c r="B138" i="1"/>
  <c r="B21" i="8" s="1"/>
  <c r="A138" i="1"/>
  <c r="A21" i="8" s="1"/>
  <c r="L137" i="1"/>
  <c r="H20" i="8" s="1"/>
  <c r="J137" i="1"/>
  <c r="F20" i="8"/>
  <c r="I137" i="1"/>
  <c r="E20" i="8"/>
  <c r="H137" i="1"/>
  <c r="D20" i="8" s="1"/>
  <c r="G137" i="1"/>
  <c r="C20" i="8"/>
  <c r="N137" i="1" s="1"/>
  <c r="B137" i="1"/>
  <c r="B20" i="8" s="1"/>
  <c r="A137" i="1"/>
  <c r="A20" i="8" s="1"/>
  <c r="L136" i="1"/>
  <c r="H19" i="8" s="1"/>
  <c r="J136" i="1"/>
  <c r="F19" i="8" s="1"/>
  <c r="I136" i="1"/>
  <c r="E19" i="8" s="1"/>
  <c r="H136" i="1"/>
  <c r="D19" i="8" s="1"/>
  <c r="G136" i="1"/>
  <c r="C19" i="8" s="1"/>
  <c r="A136" i="1"/>
  <c r="A19" i="8" s="1"/>
  <c r="A18" i="8"/>
  <c r="L132" i="1"/>
  <c r="H10" i="8"/>
  <c r="J132" i="1"/>
  <c r="F10" i="8" s="1"/>
  <c r="I132" i="1"/>
  <c r="E10" i="8" s="1"/>
  <c r="H132" i="1"/>
  <c r="D10" i="8"/>
  <c r="G132" i="1"/>
  <c r="C10" i="8" s="1"/>
  <c r="B132" i="1"/>
  <c r="B10" i="8"/>
  <c r="A132" i="1"/>
  <c r="A10" i="8" s="1"/>
  <c r="L131" i="1"/>
  <c r="H9" i="8"/>
  <c r="J131" i="1"/>
  <c r="F9" i="8" s="1"/>
  <c r="I131" i="1"/>
  <c r="E9" i="8" s="1"/>
  <c r="H131" i="1"/>
  <c r="D9" i="8"/>
  <c r="G131" i="1"/>
  <c r="C9" i="8" s="1"/>
  <c r="B131" i="1"/>
  <c r="B9" i="8"/>
  <c r="A131" i="1"/>
  <c r="A9" i="8" s="1"/>
  <c r="L130" i="1"/>
  <c r="H8" i="8"/>
  <c r="J130" i="1"/>
  <c r="F8" i="8" s="1"/>
  <c r="I130" i="1"/>
  <c r="E8" i="8" s="1"/>
  <c r="H130" i="1"/>
  <c r="D8" i="8"/>
  <c r="G130" i="1"/>
  <c r="C8" i="8" s="1"/>
  <c r="B130" i="1"/>
  <c r="B8" i="8"/>
  <c r="A130" i="1"/>
  <c r="A8" i="8" s="1"/>
  <c r="L129" i="1"/>
  <c r="H7" i="8"/>
  <c r="J129" i="1"/>
  <c r="F7" i="8" s="1"/>
  <c r="I129" i="1"/>
  <c r="E7" i="8" s="1"/>
  <c r="H129" i="1"/>
  <c r="D7" i="8"/>
  <c r="G129" i="1"/>
  <c r="C7" i="8" s="1"/>
  <c r="B129" i="1"/>
  <c r="B7" i="8"/>
  <c r="A129" i="1"/>
  <c r="A7" i="8" s="1"/>
  <c r="L128" i="1"/>
  <c r="H6" i="8"/>
  <c r="J128" i="1"/>
  <c r="F6" i="8" s="1"/>
  <c r="I128" i="1"/>
  <c r="E6" i="8" s="1"/>
  <c r="H128" i="1"/>
  <c r="D6" i="8"/>
  <c r="B128" i="1"/>
  <c r="B6" i="8"/>
  <c r="A125" i="1"/>
  <c r="A3" i="8" s="1"/>
  <c r="D8" i="7"/>
  <c r="G14" i="7" s="1"/>
  <c r="I14" i="7" s="1"/>
  <c r="D7" i="7"/>
  <c r="G13" i="7" s="1"/>
  <c r="I13" i="7" s="1"/>
  <c r="D5" i="7"/>
  <c r="L4" i="7" s="1"/>
  <c r="H2" i="6"/>
  <c r="H10" i="6"/>
  <c r="H9" i="6"/>
  <c r="H8" i="6"/>
  <c r="H7" i="6"/>
  <c r="E1" i="6"/>
  <c r="B13" i="5"/>
  <c r="D1" i="5"/>
  <c r="B33" i="5" s="1"/>
  <c r="H23" i="4"/>
  <c r="G7" i="4"/>
  <c r="G11" i="4" s="1"/>
  <c r="P76" i="1"/>
  <c r="B26" i="4"/>
  <c r="B27" i="4" s="1"/>
  <c r="B28" i="4" s="1"/>
  <c r="B29" i="4" s="1"/>
  <c r="B30" i="4" s="1"/>
  <c r="B35" i="4" s="1"/>
  <c r="B24" i="4"/>
  <c r="D1" i="4"/>
  <c r="B6" i="4"/>
  <c r="B3" i="4"/>
  <c r="B19" i="4" s="1"/>
  <c r="B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G52" i="3"/>
  <c r="G51" i="3"/>
  <c r="G50" i="3"/>
  <c r="G49" i="3"/>
  <c r="G48" i="3"/>
  <c r="G46" i="3"/>
  <c r="G45" i="3"/>
  <c r="G44" i="3"/>
  <c r="G43" i="3"/>
  <c r="G42" i="3"/>
  <c r="H38" i="3"/>
  <c r="G38" i="3"/>
  <c r="F38" i="3"/>
  <c r="E38" i="3"/>
  <c r="D38" i="3"/>
  <c r="D52" i="3" s="1"/>
  <c r="C38" i="3"/>
  <c r="C52" i="3"/>
  <c r="L52" i="3" s="1"/>
  <c r="B38" i="3"/>
  <c r="H37" i="3"/>
  <c r="G37" i="3"/>
  <c r="F37" i="3"/>
  <c r="E37" i="3"/>
  <c r="D37" i="3"/>
  <c r="D45" i="3" s="1"/>
  <c r="C37" i="3"/>
  <c r="L37" i="3" s="1"/>
  <c r="P36" i="1" s="1"/>
  <c r="B37" i="3"/>
  <c r="N37" i="3" s="1"/>
  <c r="H36" i="3"/>
  <c r="G36" i="3"/>
  <c r="F36" i="3"/>
  <c r="E36" i="3"/>
  <c r="D36" i="3"/>
  <c r="I36" i="3" s="1"/>
  <c r="C36" i="3"/>
  <c r="B36" i="3"/>
  <c r="O36" i="3" s="1"/>
  <c r="G35" i="3"/>
  <c r="F35" i="3"/>
  <c r="E35" i="3"/>
  <c r="D35" i="3"/>
  <c r="D43" i="3" s="1"/>
  <c r="C35" i="3"/>
  <c r="C43" i="3" s="1"/>
  <c r="B35" i="3"/>
  <c r="O35" i="3" s="1"/>
  <c r="G34" i="3"/>
  <c r="F34" i="3"/>
  <c r="E34" i="3"/>
  <c r="D34" i="3"/>
  <c r="D42" i="3" s="1"/>
  <c r="C34" i="3"/>
  <c r="B34" i="3"/>
  <c r="M34" i="3"/>
  <c r="H35" i="3"/>
  <c r="H11" i="3"/>
  <c r="I11" i="3" s="1"/>
  <c r="H10" i="3"/>
  <c r="H9" i="3"/>
  <c r="H8" i="3"/>
  <c r="H7" i="3"/>
  <c r="H6" i="3"/>
  <c r="G11" i="3"/>
  <c r="F11" i="3"/>
  <c r="G10" i="3"/>
  <c r="F10" i="3"/>
  <c r="F29" i="3" s="1"/>
  <c r="G9" i="3"/>
  <c r="F9" i="3"/>
  <c r="G8" i="3"/>
  <c r="F8" i="3"/>
  <c r="G7" i="3"/>
  <c r="F7" i="3"/>
  <c r="G6" i="3"/>
  <c r="F6" i="3"/>
  <c r="F16" i="3" s="1"/>
  <c r="H16" i="3" s="1"/>
  <c r="I16" i="3" s="1"/>
  <c r="G5" i="3"/>
  <c r="F5" i="3"/>
  <c r="E11" i="3"/>
  <c r="E10" i="3"/>
  <c r="E9" i="3"/>
  <c r="E8" i="3"/>
  <c r="E7" i="3"/>
  <c r="E6" i="3"/>
  <c r="E5" i="3"/>
  <c r="D11" i="3"/>
  <c r="D21" i="3" s="1"/>
  <c r="C11" i="3"/>
  <c r="C21" i="3" s="1"/>
  <c r="L21" i="3" s="1"/>
  <c r="L11" i="3" s="1"/>
  <c r="P19" i="1" s="1"/>
  <c r="B11" i="3"/>
  <c r="N11" i="3" s="1"/>
  <c r="D10" i="3"/>
  <c r="D20" i="3" s="1"/>
  <c r="D29" i="3"/>
  <c r="C10" i="3"/>
  <c r="C20" i="3" s="1"/>
  <c r="B10" i="3"/>
  <c r="N10" i="3" s="1"/>
  <c r="D9" i="3"/>
  <c r="D19" i="3" s="1"/>
  <c r="C9" i="3"/>
  <c r="C19" i="3"/>
  <c r="L19" i="3" s="1"/>
  <c r="L9" i="3" s="1"/>
  <c r="P17" i="1" s="1"/>
  <c r="B9" i="3"/>
  <c r="D8" i="3"/>
  <c r="D27" i="3" s="1"/>
  <c r="C8" i="3"/>
  <c r="C27" i="3"/>
  <c r="B8" i="3"/>
  <c r="N8" i="3" s="1"/>
  <c r="D7" i="3"/>
  <c r="C7" i="3"/>
  <c r="C26" i="3" s="1"/>
  <c r="B7" i="3"/>
  <c r="O7" i="3" s="1"/>
  <c r="C6" i="3"/>
  <c r="C16" i="3"/>
  <c r="B6" i="3"/>
  <c r="N6" i="3" s="1"/>
  <c r="D5" i="3"/>
  <c r="D15" i="3" s="1"/>
  <c r="C5" i="3"/>
  <c r="B5" i="3"/>
  <c r="H5" i="3"/>
  <c r="E4" i="3"/>
  <c r="G30" i="3"/>
  <c r="G29" i="3"/>
  <c r="G28" i="3"/>
  <c r="G27" i="3"/>
  <c r="G26" i="3"/>
  <c r="G25" i="3"/>
  <c r="G24" i="3"/>
  <c r="G23" i="3"/>
  <c r="G21" i="3"/>
  <c r="G20" i="3"/>
  <c r="G19" i="3"/>
  <c r="G18" i="3"/>
  <c r="G17" i="3"/>
  <c r="G16" i="3"/>
  <c r="G15" i="3"/>
  <c r="G14" i="3"/>
  <c r="G4" i="3"/>
  <c r="C4" i="3"/>
  <c r="M4" i="3"/>
  <c r="F4" i="3"/>
  <c r="D4" i="3"/>
  <c r="D14" i="3" s="1"/>
  <c r="B4" i="3"/>
  <c r="O4" i="3" s="1"/>
  <c r="H4" i="3"/>
  <c r="H34" i="3"/>
  <c r="I38" i="3"/>
  <c r="D30" i="3"/>
  <c r="C29" i="3"/>
  <c r="L29" i="3" s="1"/>
  <c r="D46" i="3"/>
  <c r="I7" i="3"/>
  <c r="D18" i="3"/>
  <c r="O11" i="3"/>
  <c r="C45" i="3"/>
  <c r="L45" i="3" s="1"/>
  <c r="C25" i="3"/>
  <c r="K25" i="3" s="1"/>
  <c r="K52" i="3"/>
  <c r="L27" i="3"/>
  <c r="K27" i="3"/>
  <c r="L38" i="3"/>
  <c r="P37" i="1" s="1"/>
  <c r="D49" i="3"/>
  <c r="C18" i="3"/>
  <c r="K18" i="3" s="1"/>
  <c r="K8" i="3" s="1"/>
  <c r="N16" i="1" s="1"/>
  <c r="C46" i="3"/>
  <c r="C28" i="3"/>
  <c r="K29" i="3"/>
  <c r="I8" i="3"/>
  <c r="E27" i="4"/>
  <c r="E28" i="4"/>
  <c r="E29" i="4"/>
  <c r="E30" i="4" s="1"/>
  <c r="E35" i="4" s="1"/>
  <c r="F18" i="3"/>
  <c r="C49" i="3"/>
  <c r="K45" i="3"/>
  <c r="K37" i="3" s="1"/>
  <c r="N36" i="1" s="1"/>
  <c r="F30" i="3"/>
  <c r="D51" i="3"/>
  <c r="L28" i="3"/>
  <c r="K28" i="3"/>
  <c r="L46" i="3"/>
  <c r="K46" i="3"/>
  <c r="K38" i="3" s="1"/>
  <c r="N37" i="1" s="1"/>
  <c r="F52" i="3"/>
  <c r="H52" i="3" s="1"/>
  <c r="F46" i="3"/>
  <c r="H46" i="3"/>
  <c r="I46" i="3" s="1"/>
  <c r="F20" i="3"/>
  <c r="F28" i="3"/>
  <c r="F19" i="3"/>
  <c r="H19" i="3" s="1"/>
  <c r="I19" i="3" s="1"/>
  <c r="F21" i="3"/>
  <c r="H30" i="3" s="1"/>
  <c r="H21" i="3"/>
  <c r="I21" i="3" s="1"/>
  <c r="L25" i="3"/>
  <c r="K16" i="3"/>
  <c r="L16" i="3"/>
  <c r="L36" i="3"/>
  <c r="P35" i="1" s="1"/>
  <c r="W3" i="8" l="1"/>
  <c r="X3" i="8" s="1"/>
  <c r="K3" i="8" s="1"/>
  <c r="W4" i="8"/>
  <c r="O4" i="8"/>
  <c r="P4" i="8"/>
  <c r="P3" i="8"/>
  <c r="O3" i="8"/>
  <c r="O18" i="8"/>
  <c r="P18" i="8"/>
  <c r="I18" i="8"/>
  <c r="M18" i="8" s="1"/>
  <c r="X4" i="8"/>
  <c r="K4" i="8" s="1"/>
  <c r="J4" i="8"/>
  <c r="H27" i="4"/>
  <c r="G6" i="4"/>
  <c r="G12" i="4"/>
  <c r="G13" i="4" s="1"/>
  <c r="B10" i="4"/>
  <c r="B8" i="6"/>
  <c r="B7" i="6"/>
  <c r="C15" i="3"/>
  <c r="E24" i="3"/>
  <c r="E15" i="3"/>
  <c r="E23" i="3"/>
  <c r="E14" i="3"/>
  <c r="F23" i="3" s="1"/>
  <c r="E42" i="3"/>
  <c r="F42" i="3" s="1"/>
  <c r="H42" i="3" s="1"/>
  <c r="E48" i="3"/>
  <c r="I5" i="8"/>
  <c r="P137" i="1"/>
  <c r="D11" i="7"/>
  <c r="H25" i="3"/>
  <c r="I25" i="3" s="1"/>
  <c r="P25" i="3" s="1"/>
  <c r="K6" i="3"/>
  <c r="N14" i="1" s="1"/>
  <c r="N12" i="11" s="1"/>
  <c r="C23" i="3"/>
  <c r="I8" i="8"/>
  <c r="I9" i="8"/>
  <c r="P19" i="3"/>
  <c r="K26" i="3"/>
  <c r="L26" i="3"/>
  <c r="H27" i="3"/>
  <c r="I27" i="3" s="1"/>
  <c r="P27" i="3" s="1"/>
  <c r="H18" i="3"/>
  <c r="I18" i="3" s="1"/>
  <c r="P52" i="3"/>
  <c r="P46" i="3"/>
  <c r="L20" i="3"/>
  <c r="L10" i="3" s="1"/>
  <c r="P18" i="1" s="1"/>
  <c r="K20" i="3"/>
  <c r="K10" i="3" s="1"/>
  <c r="N18" i="1" s="1"/>
  <c r="I7" i="8"/>
  <c r="P16" i="3"/>
  <c r="J16" i="3"/>
  <c r="J25" i="3"/>
  <c r="P21" i="3"/>
  <c r="P138" i="1"/>
  <c r="N138" i="1"/>
  <c r="C50" i="3"/>
  <c r="L6" i="3"/>
  <c r="P14" i="1" s="1"/>
  <c r="P12" i="11" s="1"/>
  <c r="I6" i="8"/>
  <c r="I37" i="3"/>
  <c r="C44" i="3"/>
  <c r="C30" i="3"/>
  <c r="I30" i="3" s="1"/>
  <c r="P30" i="3" s="1"/>
  <c r="D50" i="3"/>
  <c r="C51" i="3"/>
  <c r="O38" i="3"/>
  <c r="N38" i="3"/>
  <c r="D24" i="3"/>
  <c r="D44" i="3"/>
  <c r="I6" i="3"/>
  <c r="H20" i="3"/>
  <c r="I20" i="3" s="1"/>
  <c r="F27" i="3"/>
  <c r="I52" i="3"/>
  <c r="K21" i="3"/>
  <c r="K11" i="3" s="1"/>
  <c r="N19" i="1" s="1"/>
  <c r="D28" i="3"/>
  <c r="O9" i="3"/>
  <c r="N9" i="3"/>
  <c r="D16" i="3"/>
  <c r="I10" i="3"/>
  <c r="H29" i="3"/>
  <c r="I29" i="3" s="1"/>
  <c r="P29" i="3" s="1"/>
  <c r="H28" i="3"/>
  <c r="I28" i="3" s="1"/>
  <c r="P28" i="3" s="1"/>
  <c r="K19" i="3"/>
  <c r="K9" i="3" s="1"/>
  <c r="N17" i="1" s="1"/>
  <c r="F25" i="3"/>
  <c r="L18" i="3"/>
  <c r="L8" i="3" s="1"/>
  <c r="P16" i="1" s="1"/>
  <c r="I5" i="3"/>
  <c r="I9" i="3"/>
  <c r="C17" i="3"/>
  <c r="D17" i="3"/>
  <c r="D26" i="3"/>
  <c r="I10" i="8"/>
  <c r="E34" i="4"/>
  <c r="E37" i="4" s="1"/>
  <c r="K15" i="4"/>
  <c r="K16" i="4" s="1"/>
  <c r="L15" i="4"/>
  <c r="L16" i="4" s="1"/>
  <c r="B31" i="5"/>
  <c r="L8" i="7"/>
  <c r="L9" i="7"/>
  <c r="L7" i="7"/>
  <c r="L6" i="7"/>
  <c r="L5" i="7"/>
  <c r="B12" i="4"/>
  <c r="G21" i="7"/>
  <c r="B34" i="4"/>
  <c r="B37" i="4" s="1"/>
  <c r="K6" i="4"/>
  <c r="I35" i="3"/>
  <c r="C48" i="3"/>
  <c r="N5" i="3"/>
  <c r="I4" i="3"/>
  <c r="N4" i="3" s="1"/>
  <c r="D23" i="3"/>
  <c r="I4" i="8"/>
  <c r="M4" i="8" s="1"/>
  <c r="C24" i="3"/>
  <c r="I3" i="8"/>
  <c r="M3" i="8" s="1"/>
  <c r="N36" i="3"/>
  <c r="O37" i="3"/>
  <c r="N35" i="3"/>
  <c r="I34" i="3"/>
  <c r="O34" i="3" s="1"/>
  <c r="C42" i="3"/>
  <c r="D48" i="3"/>
  <c r="C14" i="3"/>
  <c r="O8" i="3"/>
  <c r="O6" i="3"/>
  <c r="N7" i="3"/>
  <c r="O10" i="3"/>
  <c r="O5" i="3"/>
  <c r="B36" i="4"/>
  <c r="F48" i="3" l="1"/>
  <c r="H48" i="3" s="1"/>
  <c r="N4" i="8"/>
  <c r="Q4" i="8"/>
  <c r="R4" i="8" s="1"/>
  <c r="S4" i="8" s="1"/>
  <c r="J3" i="8"/>
  <c r="N18" i="8"/>
  <c r="Q18" i="8"/>
  <c r="R18" i="8" s="1"/>
  <c r="S18" i="8" s="1"/>
  <c r="G24" i="7"/>
  <c r="G23" i="7"/>
  <c r="G22" i="7"/>
  <c r="G26" i="7"/>
  <c r="G25" i="7"/>
  <c r="N3" i="8"/>
  <c r="Q3" i="8"/>
  <c r="R3" i="8" s="1"/>
  <c r="S3" i="8" s="1"/>
  <c r="E36" i="4"/>
  <c r="P101" i="1" s="1"/>
  <c r="J19" i="3"/>
  <c r="J27" i="3"/>
  <c r="P18" i="3"/>
  <c r="J46" i="3"/>
  <c r="F17" i="3"/>
  <c r="F26" i="3"/>
  <c r="K50" i="3"/>
  <c r="L50" i="3"/>
  <c r="F51" i="3"/>
  <c r="H51" i="3" s="1"/>
  <c r="I51" i="3" s="1"/>
  <c r="F45" i="3"/>
  <c r="H45" i="3" s="1"/>
  <c r="I45" i="3" s="1"/>
  <c r="J30" i="3"/>
  <c r="K51" i="3"/>
  <c r="L51" i="3"/>
  <c r="J28" i="3"/>
  <c r="L30" i="3"/>
  <c r="K30" i="3"/>
  <c r="L17" i="3"/>
  <c r="L7" i="3" s="1"/>
  <c r="P15" i="1" s="1"/>
  <c r="P13" i="11" s="1"/>
  <c r="K17" i="3"/>
  <c r="K7" i="3" s="1"/>
  <c r="N15" i="1" s="1"/>
  <c r="N13" i="11" s="1"/>
  <c r="L44" i="3"/>
  <c r="K44" i="3"/>
  <c r="K36" i="3" s="1"/>
  <c r="N35" i="1" s="1"/>
  <c r="F43" i="3"/>
  <c r="H43" i="3" s="1"/>
  <c r="I43" i="3" s="1"/>
  <c r="F49" i="3"/>
  <c r="H49" i="3" s="1"/>
  <c r="I49" i="3" s="1"/>
  <c r="N12" i="3"/>
  <c r="P14" i="11" s="1"/>
  <c r="P20" i="3"/>
  <c r="J20" i="3"/>
  <c r="J29" i="3"/>
  <c r="F50" i="3"/>
  <c r="H50" i="3" s="1"/>
  <c r="I50" i="3" s="1"/>
  <c r="F44" i="3"/>
  <c r="H44" i="3" s="1"/>
  <c r="I44" i="3" s="1"/>
  <c r="J21" i="3"/>
  <c r="P139" i="1"/>
  <c r="N139" i="1"/>
  <c r="J52" i="3"/>
  <c r="F14" i="3"/>
  <c r="P31" i="11"/>
  <c r="P82" i="1"/>
  <c r="L10" i="7"/>
  <c r="N12" i="7" s="1"/>
  <c r="I48" i="3"/>
  <c r="F15" i="3"/>
  <c r="F24" i="3"/>
  <c r="O12" i="3"/>
  <c r="P15" i="11" s="1"/>
  <c r="N34" i="3"/>
  <c r="N39" i="3" s="1"/>
  <c r="O39" i="3"/>
  <c r="P41" i="1" s="1"/>
  <c r="C28" i="7" s="1"/>
  <c r="H14" i="7" s="1"/>
  <c r="J14" i="7" s="1"/>
  <c r="K14" i="7" s="1"/>
  <c r="I42" i="3"/>
  <c r="P56" i="1"/>
  <c r="H25" i="4" s="1"/>
  <c r="T4" i="8" l="1"/>
  <c r="T18" i="8"/>
  <c r="U18" i="8" s="1"/>
  <c r="W18" i="8" s="1"/>
  <c r="O48" i="3"/>
  <c r="O42" i="3"/>
  <c r="T3" i="8"/>
  <c r="P21" i="1"/>
  <c r="H5" i="6" s="1"/>
  <c r="P44" i="3"/>
  <c r="P50" i="3"/>
  <c r="P51" i="3"/>
  <c r="P45" i="3"/>
  <c r="P43" i="3"/>
  <c r="P49" i="3"/>
  <c r="H26" i="3"/>
  <c r="I26" i="3" s="1"/>
  <c r="P26" i="3" s="1"/>
  <c r="H17" i="3"/>
  <c r="I17" i="3" s="1"/>
  <c r="J18" i="3"/>
  <c r="H23" i="3"/>
  <c r="I23" i="3" s="1"/>
  <c r="P23" i="3" s="1"/>
  <c r="H14" i="3"/>
  <c r="I14" i="3" s="1"/>
  <c r="G27" i="7"/>
  <c r="C21" i="7" s="1"/>
  <c r="P147" i="1" s="1"/>
  <c r="L43" i="3"/>
  <c r="P19" i="11"/>
  <c r="P22" i="1"/>
  <c r="D20" i="5" s="1"/>
  <c r="H15" i="3"/>
  <c r="I15" i="3" s="1"/>
  <c r="H24" i="3"/>
  <c r="I24" i="3" s="1"/>
  <c r="P24" i="3" s="1"/>
  <c r="P18" i="11"/>
  <c r="P40" i="1"/>
  <c r="C27" i="7" s="1"/>
  <c r="H13" i="7" s="1"/>
  <c r="J13" i="7" s="1"/>
  <c r="K13" i="7" s="1"/>
  <c r="K15" i="7" s="1"/>
  <c r="P42" i="3"/>
  <c r="P48" i="3"/>
  <c r="J18" i="8" l="1"/>
  <c r="X18" i="8"/>
  <c r="K18" i="8" s="1"/>
  <c r="P135" i="1" s="1"/>
  <c r="N128" i="1"/>
  <c r="N130" i="1"/>
  <c r="N127" i="1"/>
  <c r="N132" i="1"/>
  <c r="N129" i="1"/>
  <c r="N131" i="1"/>
  <c r="N135" i="1"/>
  <c r="N125" i="1"/>
  <c r="P125" i="1"/>
  <c r="O15" i="3"/>
  <c r="O24" i="3"/>
  <c r="J24" i="3" s="1"/>
  <c r="K24" i="3" s="1"/>
  <c r="L24" i="3" s="1"/>
  <c r="P14" i="3"/>
  <c r="O14" i="3"/>
  <c r="O23" i="3"/>
  <c r="K23" i="3" s="1"/>
  <c r="L23" i="3" s="1"/>
  <c r="J43" i="3"/>
  <c r="K43" i="3" s="1"/>
  <c r="K35" i="3" s="1"/>
  <c r="B19" i="5"/>
  <c r="J49" i="3"/>
  <c r="K49" i="3" s="1"/>
  <c r="L49" i="3" s="1"/>
  <c r="J51" i="3"/>
  <c r="J26" i="3"/>
  <c r="P17" i="3"/>
  <c r="J50" i="3"/>
  <c r="J44" i="3"/>
  <c r="G8" i="4"/>
  <c r="G9" i="4" s="1"/>
  <c r="G10" i="4" s="1"/>
  <c r="J45" i="3"/>
  <c r="B20" i="5"/>
  <c r="H6" i="6"/>
  <c r="H11" i="6" s="1"/>
  <c r="B3" i="6" s="1"/>
  <c r="B5" i="4"/>
  <c r="B7" i="4" s="1"/>
  <c r="N34" i="1"/>
  <c r="L35" i="3"/>
  <c r="P34" i="1" s="1"/>
  <c r="P136" i="1"/>
  <c r="N136" i="1"/>
  <c r="P15" i="3"/>
  <c r="P126" i="1"/>
  <c r="N126" i="1"/>
  <c r="H24" i="4"/>
  <c r="H26" i="4" s="1"/>
  <c r="H28" i="4" s="1"/>
  <c r="J42" i="3"/>
  <c r="K42" i="3" s="1"/>
  <c r="L42" i="3" s="1"/>
  <c r="J48" i="3"/>
  <c r="K48" i="3" s="1"/>
  <c r="J14" i="3" l="1"/>
  <c r="P132" i="1"/>
  <c r="P127" i="1"/>
  <c r="P131" i="1"/>
  <c r="P130" i="1"/>
  <c r="P129" i="1"/>
  <c r="P128" i="1"/>
  <c r="B42" i="6"/>
  <c r="D42" i="6" s="1"/>
  <c r="B40" i="6"/>
  <c r="D40" i="6" s="1"/>
  <c r="B41" i="6"/>
  <c r="D41" i="6" s="1"/>
  <c r="B38" i="6"/>
  <c r="D38" i="6" s="1"/>
  <c r="B37" i="6"/>
  <c r="D37" i="6" s="1"/>
  <c r="B36" i="6"/>
  <c r="D36" i="6" s="1"/>
  <c r="B35" i="6"/>
  <c r="B43" i="6"/>
  <c r="D43" i="6" s="1"/>
  <c r="H29" i="4"/>
  <c r="H30" i="4" s="1"/>
  <c r="H31" i="4" s="1"/>
  <c r="H32" i="4" s="1"/>
  <c r="H33" i="4" s="1"/>
  <c r="H34" i="4" s="1"/>
  <c r="P62" i="1" s="1"/>
  <c r="B8" i="4" s="1"/>
  <c r="B9" i="4" s="1"/>
  <c r="B11" i="4" s="1"/>
  <c r="J17" i="3"/>
  <c r="J23" i="3"/>
  <c r="K14" i="3"/>
  <c r="L14" i="3" s="1"/>
  <c r="L4" i="3" s="1"/>
  <c r="P12" i="1" s="1"/>
  <c r="P10" i="11" s="1"/>
  <c r="B21" i="5"/>
  <c r="C35" i="6"/>
  <c r="J15" i="3"/>
  <c r="K15" i="3" s="1"/>
  <c r="L48" i="3"/>
  <c r="K34" i="3"/>
  <c r="P140" i="1" l="1"/>
  <c r="C32" i="7" s="1"/>
  <c r="H72" i="1"/>
  <c r="P72" i="1" s="1"/>
  <c r="P75" i="1" s="1"/>
  <c r="D35" i="6"/>
  <c r="K4" i="3"/>
  <c r="N12" i="1" s="1"/>
  <c r="N10" i="11" s="1"/>
  <c r="E40" i="6"/>
  <c r="G35" i="6" s="1"/>
  <c r="H35" i="6" s="1"/>
  <c r="B4" i="6" s="1"/>
  <c r="B13" i="4"/>
  <c r="B17" i="4" s="1"/>
  <c r="B14" i="4"/>
  <c r="B15" i="4" s="1"/>
  <c r="B16" i="4" s="1"/>
  <c r="E35" i="6"/>
  <c r="K5" i="3"/>
  <c r="N13" i="1" s="1"/>
  <c r="N11" i="11" s="1"/>
  <c r="L15" i="3"/>
  <c r="L5" i="3" s="1"/>
  <c r="L34" i="3"/>
  <c r="N33" i="1"/>
  <c r="C17" i="7" l="1"/>
  <c r="B18" i="4"/>
  <c r="B20" i="4" s="1"/>
  <c r="B21" i="4" s="1"/>
  <c r="P13" i="1"/>
  <c r="P11" i="11" s="1"/>
  <c r="L12" i="3"/>
  <c r="L39" i="3"/>
  <c r="P33" i="1"/>
  <c r="P48" i="1" l="1"/>
  <c r="P50" i="1" s="1"/>
  <c r="P20" i="11"/>
  <c r="P110" i="1"/>
  <c r="P40" i="11"/>
  <c r="P21" i="11" l="1"/>
  <c r="K17" i="4"/>
  <c r="K18" i="4" s="1"/>
  <c r="K19" i="4" s="1"/>
  <c r="K20" i="4" s="1"/>
  <c r="K21" i="4" s="1"/>
  <c r="L22" i="4" s="1"/>
  <c r="P64" i="1" s="1"/>
  <c r="P65" i="1" s="1"/>
  <c r="P23" i="11" s="1"/>
  <c r="P66" i="1" l="1"/>
  <c r="P24" i="11"/>
  <c r="G71" i="1" l="1"/>
  <c r="P71" i="1" s="1"/>
  <c r="P80" i="1" s="1"/>
  <c r="D9" i="7"/>
  <c r="B22" i="5"/>
  <c r="B23" i="5" s="1"/>
  <c r="B24" i="5" s="1"/>
  <c r="P141" i="1"/>
  <c r="P145" i="1" s="1"/>
  <c r="D12" i="7" s="1"/>
  <c r="B5" i="6"/>
  <c r="B32" i="5"/>
  <c r="B34" i="5" s="1"/>
  <c r="B35" i="5" s="1"/>
  <c r="B36" i="5" s="1"/>
  <c r="B37" i="5" s="1"/>
  <c r="B28" i="6" l="1"/>
  <c r="B27" i="6"/>
  <c r="B29" i="6"/>
  <c r="B25" i="6"/>
  <c r="B24" i="6"/>
  <c r="B23" i="6"/>
  <c r="C22" i="6"/>
  <c r="B22" i="6"/>
  <c r="B30" i="6"/>
  <c r="B10" i="6"/>
  <c r="C28" i="6"/>
  <c r="C30" i="6"/>
  <c r="B6" i="6"/>
  <c r="B9" i="6"/>
  <c r="C24" i="6"/>
  <c r="C25" i="6"/>
  <c r="C27" i="6"/>
  <c r="C29" i="6"/>
  <c r="C23" i="6"/>
  <c r="D13" i="7"/>
  <c r="N11" i="7"/>
  <c r="N13" i="7" s="1"/>
  <c r="N14" i="7" s="1"/>
  <c r="K16" i="7" s="1"/>
  <c r="K17" i="7" s="1"/>
  <c r="D30" i="7" s="1"/>
  <c r="P150" i="1" s="1"/>
  <c r="P83" i="1"/>
  <c r="P29" i="11"/>
  <c r="P32" i="11" s="1"/>
  <c r="B11" i="6" l="1"/>
  <c r="F16" i="6" s="1"/>
  <c r="D27" i="6"/>
  <c r="D29" i="6"/>
  <c r="D25" i="6"/>
  <c r="D24" i="6"/>
  <c r="C16" i="7"/>
  <c r="C18" i="7" s="1"/>
  <c r="C19" i="7" s="1"/>
  <c r="P84" i="1"/>
  <c r="P85" i="1" s="1"/>
  <c r="B14" i="6"/>
  <c r="F14" i="6"/>
  <c r="D30" i="6"/>
  <c r="D22" i="6"/>
  <c r="C22" i="7"/>
  <c r="C23" i="7" s="1"/>
  <c r="D23" i="6"/>
  <c r="D28" i="6"/>
  <c r="E22" i="6" l="1"/>
  <c r="F15" i="6"/>
  <c r="B15" i="6"/>
  <c r="E27" i="6"/>
  <c r="G22" i="6" s="1"/>
  <c r="H22" i="6" s="1"/>
  <c r="B13" i="6" s="1"/>
  <c r="B16" i="6" s="1"/>
  <c r="B17" i="6" s="1"/>
  <c r="B12" i="5"/>
  <c r="B15" i="5" s="1"/>
  <c r="B2" i="5" s="1"/>
  <c r="P33" i="11"/>
  <c r="P146" i="1"/>
  <c r="C24" i="7"/>
  <c r="P148" i="1" s="1"/>
  <c r="F3" i="5" l="1"/>
  <c r="C3" i="5" s="1"/>
  <c r="F6" i="5"/>
  <c r="C6" i="5" s="1"/>
  <c r="F5" i="5"/>
  <c r="C5" i="5" s="1"/>
  <c r="F4" i="5"/>
  <c r="D25" i="7"/>
  <c r="P112" i="1"/>
  <c r="P41" i="11"/>
  <c r="P149" i="1" l="1"/>
  <c r="D31" i="7"/>
  <c r="C8" i="5"/>
  <c r="C10" i="5" s="1"/>
  <c r="C11" i="5" s="1"/>
  <c r="D10" i="5" s="1"/>
  <c r="C4" i="5"/>
  <c r="B46" i="5" l="1"/>
  <c r="B47" i="5" s="1"/>
  <c r="B49" i="5" s="1"/>
  <c r="P34" i="11"/>
  <c r="P86" i="1"/>
  <c r="P89" i="1" s="1"/>
  <c r="P47" i="11"/>
  <c r="D34" i="7"/>
  <c r="D33" i="7"/>
  <c r="P151" i="1"/>
  <c r="P153" i="1" l="1"/>
  <c r="P49" i="11"/>
  <c r="B38" i="5"/>
  <c r="B25" i="5"/>
  <c r="B26" i="5" s="1"/>
  <c r="B27" i="5" s="1"/>
  <c r="P92" i="1" s="1"/>
  <c r="B39" i="5" s="1"/>
  <c r="P48" i="11"/>
  <c r="P152" i="1"/>
  <c r="P42" i="11"/>
  <c r="P43" i="11" s="1"/>
  <c r="P113" i="1"/>
  <c r="P120" i="1" s="1"/>
  <c r="P2" i="1" l="1"/>
  <c r="B40" i="5"/>
  <c r="B41" i="5" s="1"/>
  <c r="B42" i="5" s="1"/>
  <c r="P95" i="1" s="1"/>
  <c r="P98" i="1" s="1"/>
  <c r="P2" i="11"/>
  <c r="P36" i="11" l="1"/>
  <c r="P99" i="1"/>
  <c r="P108" i="1" l="1"/>
  <c r="P37" i="11"/>
  <c r="P38" i="11" l="1"/>
  <c r="P44" i="11" s="1"/>
  <c r="P122" i="1"/>
  <c r="P121" i="1"/>
  <c r="G2" i="1" l="1"/>
  <c r="P45" i="11"/>
  <c r="G2" i="11" s="1"/>
</calcChain>
</file>

<file path=xl/sharedStrings.xml><?xml version="1.0" encoding="utf-8"?>
<sst xmlns="http://schemas.openxmlformats.org/spreadsheetml/2006/main" count="683" uniqueCount="398">
  <si>
    <t>First Name</t>
  </si>
  <si>
    <t>Spouse Name</t>
  </si>
  <si>
    <t>Last Name</t>
  </si>
  <si>
    <t>Names</t>
  </si>
  <si>
    <t>Street Address</t>
  </si>
  <si>
    <t>City, State, Zip</t>
  </si>
  <si>
    <t>Single=1, Married Joint=2, Separate=3, Head Household=4, Widow(er)=5</t>
  </si>
  <si>
    <t>T/S</t>
  </si>
  <si>
    <t>EMPLOYER</t>
  </si>
  <si>
    <t>PAY PER YR</t>
  </si>
  <si>
    <t>PAY PER APPL</t>
  </si>
  <si>
    <t>MAR OR SIGL</t>
  </si>
  <si>
    <t>GROSS TAXABLE PERIOD</t>
  </si>
  <si>
    <t>EXTRA</t>
  </si>
  <si>
    <t>LIST</t>
  </si>
  <si>
    <t>FEDERAL WITHHOLD PERIOD</t>
  </si>
  <si>
    <t>FEDERAL WITHHOLD YEAR</t>
  </si>
  <si>
    <t>PENSION</t>
  </si>
  <si>
    <t>15,16</t>
  </si>
  <si>
    <t>Dividends</t>
  </si>
  <si>
    <t>Rate:</t>
  </si>
  <si>
    <t>Social Security Benefits Gross</t>
  </si>
  <si>
    <t>Blind / Over 65 Enter #</t>
  </si>
  <si>
    <t>37,38</t>
  </si>
  <si>
    <t>Qual Children:</t>
  </si>
  <si>
    <t>Amount Paid</t>
  </si>
  <si>
    <t xml:space="preserve"> </t>
  </si>
  <si>
    <t xml:space="preserve">Dep Care Credit:  </t>
  </si>
  <si>
    <t xml:space="preserve">Child Tax Credit:  Number of Qualifing Children:  </t>
  </si>
  <si>
    <t>PAGE 2</t>
  </si>
  <si>
    <t>INCOME</t>
  </si>
  <si>
    <t>ADJUSTMENTS</t>
  </si>
  <si>
    <t>TAX AND CREDITS</t>
  </si>
  <si>
    <t>OTHER TAXES</t>
  </si>
  <si>
    <t>PAYMENTS</t>
  </si>
  <si>
    <t>Earned Income Credit: Qualifying Children</t>
  </si>
  <si>
    <t>Student Loan Interest Deduction ……………………………………………………………………………..</t>
  </si>
  <si>
    <t>Farm Income Taxpayer ……………………………………………………………………………………………..</t>
  </si>
  <si>
    <t>Farm Income Spouse ………………………………………………………………………………………………..</t>
  </si>
  <si>
    <t>Taxable……………………………</t>
  </si>
  <si>
    <t>SCHEDULE A</t>
  </si>
  <si>
    <t>T</t>
  </si>
  <si>
    <t>GROSS YEAR</t>
  </si>
  <si>
    <t>EXEMPTIONS</t>
  </si>
  <si>
    <t>EXEMPT</t>
  </si>
  <si>
    <t>ALLOWANCE</t>
  </si>
  <si>
    <t>TOTAL</t>
  </si>
  <si>
    <t>NET TAXABLE</t>
  </si>
  <si>
    <t>TAXABLE  YR</t>
  </si>
  <si>
    <t>WITHHOLD YR</t>
  </si>
  <si>
    <t>FEDERAL WITHHOLD YEAR+EXTRA</t>
  </si>
  <si>
    <t>S</t>
  </si>
  <si>
    <t>M</t>
  </si>
  <si>
    <t>spouse gross</t>
  </si>
  <si>
    <t>taxpayer gross</t>
  </si>
  <si>
    <t>XXXXXXXXXXX</t>
  </si>
  <si>
    <t>PENSIONS</t>
  </si>
  <si>
    <t>WAGES</t>
  </si>
  <si>
    <t>PD</t>
  </si>
  <si>
    <t>PD APPL</t>
  </si>
  <si>
    <t>Business Income Spouse ……………………………………………………………………………………………..</t>
  </si>
  <si>
    <t>SS BENEFITS</t>
  </si>
  <si>
    <t>Tax Exempt</t>
  </si>
  <si>
    <t>STATUS</t>
  </si>
  <si>
    <t>SEP</t>
  </si>
  <si>
    <t>SS</t>
  </si>
  <si>
    <t>1/2</t>
  </si>
  <si>
    <t>OTHER</t>
  </si>
  <si>
    <t>TE</t>
  </si>
  <si>
    <t>TOT</t>
  </si>
  <si>
    <t>ADJ</t>
  </si>
  <si>
    <t>NET</t>
  </si>
  <si>
    <t>7-8</t>
  </si>
  <si>
    <t>9-10</t>
  </si>
  <si>
    <t>9or10</t>
  </si>
  <si>
    <t>2or13</t>
  </si>
  <si>
    <t>.85*11</t>
  </si>
  <si>
    <t>14+15</t>
  </si>
  <si>
    <t>1*.85</t>
  </si>
  <si>
    <t>16or17</t>
  </si>
  <si>
    <t>se taxpayer</t>
  </si>
  <si>
    <t>1a</t>
  </si>
  <si>
    <t>1b</t>
  </si>
  <si>
    <t>Other SS Wages</t>
  </si>
  <si>
    <t>se spouse</t>
  </si>
  <si>
    <t>State Taxes ………………………………………………………………………………………………………………….</t>
  </si>
  <si>
    <t>standard ded</t>
  </si>
  <si>
    <t>2a</t>
  </si>
  <si>
    <t>standard</t>
  </si>
  <si>
    <t>claim zero</t>
  </si>
  <si>
    <t>earned income</t>
  </si>
  <si>
    <t>smaller 1or3</t>
  </si>
  <si>
    <t>blind or 65</t>
  </si>
  <si>
    <t xml:space="preserve">add </t>
  </si>
  <si>
    <t>Medical Amt</t>
  </si>
  <si>
    <t>Student interest</t>
  </si>
  <si>
    <t>line 22</t>
  </si>
  <si>
    <t>round</t>
  </si>
  <si>
    <t>4-5</t>
  </si>
  <si>
    <t>married, or other</t>
  </si>
  <si>
    <t>interest</t>
  </si>
  <si>
    <t>7*1</t>
  </si>
  <si>
    <t>1-8</t>
  </si>
  <si>
    <t>single</t>
  </si>
  <si>
    <t>taxable</t>
  </si>
  <si>
    <t>TAX</t>
  </si>
  <si>
    <t>status</t>
  </si>
  <si>
    <t>married</t>
  </si>
  <si>
    <t>separate</t>
  </si>
  <si>
    <t>head</t>
  </si>
  <si>
    <t>by status</t>
  </si>
  <si>
    <t>Schedule d</t>
  </si>
  <si>
    <t>net</t>
  </si>
  <si>
    <t>add cap gains</t>
  </si>
  <si>
    <t>Qualifying</t>
  </si>
  <si>
    <t>qual CG</t>
  </si>
  <si>
    <t>Total tax</t>
  </si>
  <si>
    <t>CREDITS</t>
  </si>
  <si>
    <t>Mortgage Interest #1 …….</t>
  </si>
  <si>
    <t>#2 …………….</t>
  </si>
  <si>
    <t>#3 ……</t>
  </si>
  <si>
    <t>CHILD CARE CREDIT</t>
  </si>
  <si>
    <t>ROUND</t>
  </si>
  <si>
    <t>child tax credit</t>
  </si>
  <si>
    <t>paid</t>
  </si>
  <si>
    <t>income</t>
  </si>
  <si>
    <t>spouse income</t>
  </si>
  <si>
    <t>lesser</t>
  </si>
  <si>
    <t>AGI</t>
  </si>
  <si>
    <t>RATE</t>
  </si>
  <si>
    <t>CREDIT</t>
  </si>
  <si>
    <t>TAX AFTER CREDITS</t>
  </si>
  <si>
    <t>cc credit</t>
  </si>
  <si>
    <t>agi</t>
  </si>
  <si>
    <t>status limit</t>
  </si>
  <si>
    <t>phase out</t>
  </si>
  <si>
    <t>round up</t>
  </si>
  <si>
    <t>x.05</t>
  </si>
  <si>
    <t>TAX CREDIT TENTATIVE</t>
  </si>
  <si>
    <t>TAX CREDITS</t>
  </si>
  <si>
    <t>47-50</t>
  </si>
  <si>
    <t>7 AND 8 THE SAME</t>
  </si>
  <si>
    <t>MIN</t>
  </si>
  <si>
    <t>EIC</t>
  </si>
  <si>
    <t>EARNED INCOME</t>
  </si>
  <si>
    <t>QUAL CHILDREN</t>
  </si>
  <si>
    <t>5A</t>
  </si>
  <si>
    <t>5B</t>
  </si>
  <si>
    <t>YES 5</t>
  </si>
  <si>
    <t>EIC TABLES</t>
  </si>
  <si>
    <t>&gt;2</t>
  </si>
  <si>
    <t>if &lt;0</t>
  </si>
  <si>
    <t>middle</t>
  </si>
  <si>
    <t>single or head</t>
  </si>
  <si>
    <t>qual</t>
  </si>
  <si>
    <t>eic</t>
  </si>
  <si>
    <t>PAY PERIOD/ YR</t>
  </si>
  <si>
    <t>PAY PERIOD APPLY</t>
  </si>
  <si>
    <t>MARRIED SINGLE</t>
  </si>
  <si>
    <t>EXTRA WITHHOLDING</t>
  </si>
  <si>
    <t>Agi</t>
  </si>
  <si>
    <t>EIC EARNED INCOME</t>
  </si>
  <si>
    <t>EIC AGI</t>
  </si>
  <si>
    <t>NO 5</t>
  </si>
  <si>
    <t>6A</t>
  </si>
  <si>
    <t>1 AND 3 THE SAME</t>
  </si>
  <si>
    <t>1 AND 3 THE SAME - FINAL EIC</t>
  </si>
  <si>
    <t>MARRIED OR SINGLE</t>
  </si>
  <si>
    <t>6B</t>
  </si>
  <si>
    <t>5 A OR B ARE TRUE -FINAL EIC</t>
  </si>
  <si>
    <t>6C</t>
  </si>
  <si>
    <t>5 A OR B IS TRUE</t>
  </si>
  <si>
    <t>WHICH EIC</t>
  </si>
  <si>
    <t>EIC AGI LESSER 2 OR 6</t>
  </si>
  <si>
    <t>6 FINAL</t>
  </si>
  <si>
    <t>FINAL EIC</t>
  </si>
  <si>
    <t>w2 t</t>
  </si>
  <si>
    <t>wt s</t>
  </si>
  <si>
    <t>c t</t>
  </si>
  <si>
    <t>c s</t>
  </si>
  <si>
    <t>f t</t>
  </si>
  <si>
    <t>f c</t>
  </si>
  <si>
    <t>total</t>
  </si>
  <si>
    <t>1040 line 51 or 10 above</t>
  </si>
  <si>
    <t>subtract but not &lt;0</t>
  </si>
  <si>
    <t xml:space="preserve">Add SS on deferred Wages </t>
  </si>
  <si>
    <t>Additional child tax credit</t>
  </si>
  <si>
    <t>State of Utah</t>
  </si>
  <si>
    <t>Name:</t>
  </si>
  <si>
    <t>name</t>
  </si>
  <si>
    <t>Status (Single,Married,Separate, Head)</t>
  </si>
  <si>
    <t>Exemptions</t>
  </si>
  <si>
    <t>Taxpayer Age</t>
  </si>
  <si>
    <t>Spouse Age</t>
  </si>
  <si>
    <t>Federal AGI</t>
  </si>
  <si>
    <t>Additions</t>
  </si>
  <si>
    <t>Subtractions</t>
  </si>
  <si>
    <t>Taxable Income</t>
  </si>
  <si>
    <t>Itemezed Ded or Standard</t>
  </si>
  <si>
    <t>State Income Tax (itemize)</t>
  </si>
  <si>
    <t>Total Deductions</t>
  </si>
  <si>
    <t>6% of 12</t>
  </si>
  <si>
    <t>Phase Out Amount</t>
  </si>
  <si>
    <t>Line 7 less 14</t>
  </si>
  <si>
    <t>Line 15 x.013</t>
  </si>
  <si>
    <t>Tax Credit Line 13  less 16</t>
  </si>
  <si>
    <t>Income Tax</t>
  </si>
  <si>
    <t>Taxpayer Pensions</t>
  </si>
  <si>
    <t>Spouse Pensions</t>
  </si>
  <si>
    <t>Retirement Credit(non refundable)</t>
  </si>
  <si>
    <t>Net tax</t>
  </si>
  <si>
    <t>Withholding</t>
  </si>
  <si>
    <t>Balance Due</t>
  </si>
  <si>
    <t>Refund</t>
  </si>
  <si>
    <t>reduction</t>
  </si>
  <si>
    <t>credit</t>
  </si>
  <si>
    <t>AGE</t>
  </si>
  <si>
    <t>RETIREMENT</t>
  </si>
  <si>
    <t>65??</t>
  </si>
  <si>
    <t>TAXPAYER</t>
  </si>
  <si>
    <t>SPOUSE</t>
  </si>
  <si>
    <t>retirement</t>
  </si>
  <si>
    <t>Age</t>
  </si>
  <si>
    <t>UTAH WITHHOLD PERIOD</t>
  </si>
  <si>
    <t>UTAH WITHHOLD YEAR</t>
  </si>
  <si>
    <t>GROSS YEAR AT FULL YEAR</t>
  </si>
  <si>
    <t>divide by 15k or 30k</t>
  </si>
  <si>
    <t>Wages Taxpayer……………………………………………………………………………………………………………….</t>
  </si>
  <si>
    <t>Wages Spouse…………………………………………………………………………………………………………………</t>
  </si>
  <si>
    <t>Interest ………………………………………………………………………………………………………………………………..</t>
  </si>
  <si>
    <t>Taxable Refunds…………………………………………………………………………………………………………….</t>
  </si>
  <si>
    <t>Alimony Income …………………………………………………………………………………………………………….</t>
  </si>
  <si>
    <t>Business Income Taxapayer …………………………………………………………………………………………..</t>
  </si>
  <si>
    <t xml:space="preserve"> ……………………………</t>
  </si>
  <si>
    <t xml:space="preserve"> ……………………………………….</t>
  </si>
  <si>
    <t>Pensions Taxpayer………………………………………………………………………………………………………….</t>
  </si>
  <si>
    <t>Pensions Spouse………………………………………………………………………………………………………………</t>
  </si>
  <si>
    <t>Taxable…………………………………….</t>
  </si>
  <si>
    <t>Other Income ………………………………………………………………………………………………………………….</t>
  </si>
  <si>
    <t>Total Income ……………………………………………………………………………………………………………………</t>
  </si>
  <si>
    <t>Educator Expenses …………………………………………………………………………………………………………..</t>
  </si>
  <si>
    <t>Form 2106 for Reservists, Performning Artists ………………………………………………………………</t>
  </si>
  <si>
    <t>HSA Expenses  for 8889 ………………………………………………………………………………………………….</t>
  </si>
  <si>
    <t>Moving Expenses Form 3903……………………………………………………………………………………………</t>
  </si>
  <si>
    <t>Self Employment Deduction …………………………………………………………………………………………..</t>
  </si>
  <si>
    <t>SEP or Simple Plans …………………………………………………………………………………………………………</t>
  </si>
  <si>
    <t>Self Employment Health Insurance Deduction ……………………………………………………………..</t>
  </si>
  <si>
    <t>Penalty for Early Withdrawls …………………………………………………………………………………………..</t>
  </si>
  <si>
    <t>Alimony Paid ……………………………………………………………………………………………………………………</t>
  </si>
  <si>
    <t xml:space="preserve">  Net Deduction ………………………………..</t>
  </si>
  <si>
    <t>IRA Deduction …………………………………………………………………………………………………………………..</t>
  </si>
  <si>
    <t>Tuition and Fees Form 8917 ……………………………………………………………………………………………..</t>
  </si>
  <si>
    <t>Total Lines 23 through 35 ………………………………………………………………………………………………..</t>
  </si>
  <si>
    <t>Adjusted Gross Income. …………………………………………………………………………………………………..</t>
  </si>
  <si>
    <t xml:space="preserve">  Deductable Medical Expenses ………</t>
  </si>
  <si>
    <t>Property Taxes …………………………………………………………………………………………………………………</t>
  </si>
  <si>
    <t>Other Taxes ……………………………………………………………………………………………………………………..</t>
  </si>
  <si>
    <t>………….</t>
  </si>
  <si>
    <t>Charity ……………………………………………………………………………………………………………………………….</t>
  </si>
  <si>
    <t>Other Itemized Deductions (not subject to 2%) ………………………………………………………………..</t>
  </si>
  <si>
    <t>Total Itemized Deductions …………………………………………………………………………………………………</t>
  </si>
  <si>
    <t>A1</t>
  </si>
  <si>
    <t>A4</t>
  </si>
  <si>
    <t>A5</t>
  </si>
  <si>
    <t>A6</t>
  </si>
  <si>
    <t>A7</t>
  </si>
  <si>
    <t>A15</t>
  </si>
  <si>
    <t>A19</t>
  </si>
  <si>
    <t>A28</t>
  </si>
  <si>
    <t>A30</t>
  </si>
  <si>
    <t>Standard Deductions………………...……………………………………………………………………………………</t>
  </si>
  <si>
    <t>Itemized Deductions or Standard……………………………………………………………………………………</t>
  </si>
  <si>
    <t>Subtract 40 from 38 …………………………………………………………………………………………………………</t>
  </si>
  <si>
    <t>Taxable Income ………………………………………………………………………………………………………………</t>
  </si>
  <si>
    <t>Tax …………………………………………………………………………………………………………………………………..</t>
  </si>
  <si>
    <t>AMT Tax …………………………………………………………………………………………………………………………..</t>
  </si>
  <si>
    <t>Foreign Tax Credit …………………………………………………………………………………………………………..</t>
  </si>
  <si>
    <t>Education Credit …………………………………………………………………………………………………………….</t>
  </si>
  <si>
    <t>Retirement Savings Credit ……………………………………………………………………………………………..</t>
  </si>
  <si>
    <t>Residentail Energy Credit ……………………………………………………………………………………………….</t>
  </si>
  <si>
    <t>Other Credits 3800,8801 …………………………………………………………………………………………………</t>
  </si>
  <si>
    <t>Total Credits Lines 47 throughh 53 ………………………………………………………………………………….</t>
  </si>
  <si>
    <t>Tax Less Credits Subtract line 54 from line 46 ………………………………………………………………..</t>
  </si>
  <si>
    <t>Self employment Taxes ………………………………………………………………………………………………….</t>
  </si>
  <si>
    <t>Unreported Scoial Security and Medicare Tax form 4137, 8919 …………………………………….</t>
  </si>
  <si>
    <t>Additional Tax on IRS Attach Form 5329 ………………………………………………………………………..</t>
  </si>
  <si>
    <t>Household Employment Taxes ……………………………………………………………………………………….</t>
  </si>
  <si>
    <t>First Time Homebuyer Credit Repayment ……………………………………………………………………..</t>
  </si>
  <si>
    <t>Other Taxes …………………………………………………………………………………………………………………….</t>
  </si>
  <si>
    <t>Total Tax ………………………………………………………………………………………………………………………….</t>
  </si>
  <si>
    <t>Federal Income Taxes Withheld ……………………………………………………………………………………</t>
  </si>
  <si>
    <t>Estimated Payments ………………………………………………………………………………………………………</t>
  </si>
  <si>
    <t>………..</t>
  </si>
  <si>
    <t>American Opportunity Credit ………………………………………………………………………………………..</t>
  </si>
  <si>
    <t>First Time Homebuyer Credit  ………………………………………………………………………………………..</t>
  </si>
  <si>
    <t>Amount Paid with Extension ………………………………………………………………………………………….</t>
  </si>
  <si>
    <t>Excess Social Security Tax ………………………………………………………………………………………………..</t>
  </si>
  <si>
    <t>Credit for Fuels Tax …………………………………………………………………………………………………………</t>
  </si>
  <si>
    <t>Credits Forms 2439,8839,8801,8885 ……………………………………………………………………………….</t>
  </si>
  <si>
    <t>Total Payments ……………………………………………………………………………………………………………….</t>
  </si>
  <si>
    <t>REFUND ………………………………………………………………………………………………………………………….</t>
  </si>
  <si>
    <t>AMOUNT YOU OWE ………………………………………………………………………………………………………..</t>
  </si>
  <si>
    <t>Total Withholding …………………………………………………………………………………………………………………….</t>
  </si>
  <si>
    <t>Federal AGI ……………………………………………………………………………………………………………………..</t>
  </si>
  <si>
    <t>Additions …………………………………………………………………………………………………………………………</t>
  </si>
  <si>
    <t>State Refund…………………………………………………………………………………………………………………….</t>
  </si>
  <si>
    <t>Subtractions …………………………………………………………………………………………………………………….</t>
  </si>
  <si>
    <t>Taxable Income ……………………………………………………………………………………………………………….</t>
  </si>
  <si>
    <t>Phase Out ………………………………………………………………………………………………………………………..</t>
  </si>
  <si>
    <t>Taxpayer Credit ………………………………………………………………………………………………………………</t>
  </si>
  <si>
    <t>Tax ……………………………………………………………………………………………………………………………………</t>
  </si>
  <si>
    <t>Nonrefundable Credits (Retirement)………………………………………………………………………………</t>
  </si>
  <si>
    <t>AMOUNT YOU OWE ……………………………………………………………………………………………………….</t>
  </si>
  <si>
    <t>………………………………………….</t>
  </si>
  <si>
    <t>…………………………………………………..</t>
  </si>
  <si>
    <t>FEDERAL REFUND+ OR BALANCE-</t>
  </si>
  <si>
    <t>STATE REFUND+ OR BALANCE-</t>
  </si>
  <si>
    <t>blind</t>
  </si>
  <si>
    <t>pay period</t>
  </si>
  <si>
    <t>under j (whold/yr)</t>
  </si>
  <si>
    <t>over j (whold/yr)</t>
  </si>
  <si>
    <t>medical</t>
  </si>
  <si>
    <t>cgain data validation</t>
  </si>
  <si>
    <t>taxpayer</t>
  </si>
  <si>
    <t>not more than total</t>
  </si>
  <si>
    <t>status==================</t>
  </si>
  <si>
    <t>Taxpayer/ Spouse</t>
  </si>
  <si>
    <t>claim</t>
  </si>
  <si>
    <t>cgasin rates</t>
  </si>
  <si>
    <t>Adavance premium tax credit………………………………………………………………………………………..</t>
  </si>
  <si>
    <t>Add 44 through 46 ………………………………………………………………………………………………………………….</t>
  </si>
  <si>
    <t>60a</t>
  </si>
  <si>
    <t>60b</t>
  </si>
  <si>
    <t>Health care responsibility</t>
  </si>
  <si>
    <t>66a</t>
  </si>
  <si>
    <t>2.8.15</t>
  </si>
  <si>
    <t>add 350 or 1050</t>
  </si>
  <si>
    <t>.MARRIED SINGLE</t>
  </si>
  <si>
    <t>.Taxpayer /Spouse</t>
  </si>
  <si>
    <t>min</t>
  </si>
  <si>
    <t>number of children&gt;&gt;&gt;&gt;&gt;&gt;</t>
  </si>
  <si>
    <t>Tax &amp; W4 Planner 2018</t>
  </si>
  <si>
    <t>update 1-18-18</t>
  </si>
  <si>
    <t>limit 1400*kids</t>
  </si>
  <si>
    <t>refundable</t>
  </si>
  <si>
    <t>LT Capital Gains</t>
  </si>
  <si>
    <t>ST Gains &amp; Other Gains and Losses (Form 4797)…………………………………………………………………..</t>
  </si>
  <si>
    <t>Professional  (place "x")</t>
  </si>
  <si>
    <t>………………………………..</t>
  </si>
  <si>
    <t>pass through deduction</t>
  </si>
  <si>
    <t>limit M/S</t>
  </si>
  <si>
    <t>pass through income Prof</t>
  </si>
  <si>
    <t>c tax</t>
  </si>
  <si>
    <t>c spo</t>
  </si>
  <si>
    <t>e1</t>
  </si>
  <si>
    <t>e2</t>
  </si>
  <si>
    <t xml:space="preserve">Total </t>
  </si>
  <si>
    <t>deduction</t>
  </si>
  <si>
    <t>agi less ptd</t>
  </si>
  <si>
    <t>Dependants &lt;17</t>
  </si>
  <si>
    <t>Dependants &gt;16</t>
  </si>
  <si>
    <t>qualifying x2000</t>
  </si>
  <si>
    <t>Other dependants</t>
  </si>
  <si>
    <t>line 1 above</t>
  </si>
  <si>
    <t>Total Taxes …………………………………………………………………………………………………………………..</t>
  </si>
  <si>
    <t>Causulty Loss (federal Disaster only) ………………………………………………………………………….</t>
  </si>
  <si>
    <t>prof</t>
  </si>
  <si>
    <t>ord</t>
  </si>
  <si>
    <t>f tax</t>
  </si>
  <si>
    <t>f spo</t>
  </si>
  <si>
    <t>DIF</t>
  </si>
  <si>
    <t>Total</t>
  </si>
  <si>
    <t>Paid in 2017</t>
  </si>
  <si>
    <t>Pass Through Entities Qualified Business Deduction ………………………………………………..</t>
  </si>
  <si>
    <t>Rental Real Estate, Royalties, Trusts Schedule E (passive)…………………………………...….</t>
  </si>
  <si>
    <t>Partnerships, Scorporations Sch E (active)……..</t>
  </si>
  <si>
    <t>Unemployment ………………………………………………………………………………………………………………….</t>
  </si>
  <si>
    <t>Additional Child Tax Credit ……………………………………………………………………………………….</t>
  </si>
  <si>
    <t>Additional Child Tax Credit …………………………………………………………………………………………</t>
  </si>
  <si>
    <t>……………………………….</t>
  </si>
  <si>
    <t>……………..</t>
  </si>
  <si>
    <t>Total Adjustments …………………………………………………………………………………………………………</t>
  </si>
  <si>
    <t>tax</t>
  </si>
  <si>
    <t>rate</t>
  </si>
  <si>
    <t>Total Tax including other taxes……………………………………………………………………………………</t>
  </si>
  <si>
    <t>Tax &amp; W4 Planner 2019</t>
  </si>
  <si>
    <t>update 2-8-18</t>
  </si>
  <si>
    <t>10%</t>
  </si>
  <si>
    <t>1.8.19</t>
  </si>
  <si>
    <t>update 1-8-19</t>
  </si>
  <si>
    <t>2018????</t>
  </si>
  <si>
    <t>State Tax Flat 4.95% ………………………………..…………………………………………………………………..10</t>
  </si>
  <si>
    <t>Flat Tax 4.95</t>
  </si>
  <si>
    <t>$565 times Exemptions</t>
  </si>
  <si>
    <t>add</t>
  </si>
  <si>
    <t>per pay</t>
  </si>
  <si>
    <t>totla per pay</t>
  </si>
  <si>
    <t>totla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</si>
</sst>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"/>
    <numFmt numFmtId="167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3" xfId="0" applyBorder="1"/>
    <xf numFmtId="0" fontId="0" fillId="0" borderId="3" xfId="0" applyFill="1" applyBorder="1"/>
    <xf numFmtId="0" fontId="0" fillId="0" borderId="0" xfId="0" applyAlignment="1"/>
    <xf numFmtId="0" fontId="0" fillId="5" borderId="3" xfId="0" applyFill="1" applyBorder="1"/>
    <xf numFmtId="0" fontId="0" fillId="5" borderId="0" xfId="0" applyFill="1"/>
    <xf numFmtId="0" fontId="0" fillId="0" borderId="0" xfId="0" applyBorder="1"/>
    <xf numFmtId="0" fontId="0" fillId="5" borderId="3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5" borderId="2" xfId="0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5" borderId="2" xfId="0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65" fontId="3" fillId="0" borderId="1" xfId="1" applyNumberFormat="1" applyFont="1" applyBorder="1" applyAlignment="1">
      <alignment horizontal="left"/>
    </xf>
    <xf numFmtId="165" fontId="3" fillId="0" borderId="1" xfId="1" applyNumberFormat="1" applyFont="1" applyBorder="1" applyAlignment="1">
      <alignment horizontal="center"/>
    </xf>
    <xf numFmtId="0" fontId="0" fillId="0" borderId="2" xfId="0" applyBorder="1" applyAlignment="1"/>
    <xf numFmtId="0" fontId="4" fillId="6" borderId="0" xfId="0" applyFont="1" applyFill="1"/>
    <xf numFmtId="0" fontId="0" fillId="6" borderId="0" xfId="0" applyFill="1"/>
    <xf numFmtId="0" fontId="0" fillId="6" borderId="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43" fontId="0" fillId="0" borderId="0" xfId="0" applyNumberFormat="1"/>
    <xf numFmtId="9" fontId="3" fillId="0" borderId="0" xfId="3" applyFont="1" applyBorder="1" applyAlignment="1">
      <alignment horizontal="center"/>
    </xf>
    <xf numFmtId="165" fontId="3" fillId="0" borderId="1" xfId="1" applyNumberFormat="1" applyFont="1" applyBorder="1" applyAlignment="1">
      <alignment horizontal="left"/>
    </xf>
    <xf numFmtId="49" fontId="0" fillId="0" borderId="2" xfId="0" applyNumberFormat="1" applyBorder="1"/>
    <xf numFmtId="165" fontId="3" fillId="0" borderId="0" xfId="1" applyNumberFormat="1" applyFont="1"/>
    <xf numFmtId="0" fontId="0" fillId="5" borderId="4" xfId="0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left"/>
    </xf>
    <xf numFmtId="165" fontId="3" fillId="0" borderId="2" xfId="1" applyNumberFormat="1" applyFont="1" applyBorder="1"/>
    <xf numFmtId="0" fontId="0" fillId="0" borderId="0" xfId="0" applyAlignment="1">
      <alignment wrapText="1"/>
    </xf>
    <xf numFmtId="16" fontId="0" fillId="0" borderId="0" xfId="0" applyNumberFormat="1"/>
    <xf numFmtId="16" fontId="0" fillId="0" borderId="0" xfId="0" quotePrefix="1" applyNumberFormat="1"/>
    <xf numFmtId="0" fontId="0" fillId="0" borderId="0" xfId="0" quotePrefix="1"/>
    <xf numFmtId="9" fontId="0" fillId="0" borderId="0" xfId="0" applyNumberFormat="1"/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Border="1" applyAlignment="1">
      <alignment horizontal="center"/>
    </xf>
    <xf numFmtId="165" fontId="3" fillId="0" borderId="0" xfId="1" quotePrefix="1" applyNumberFormat="1" applyFont="1"/>
    <xf numFmtId="165" fontId="3" fillId="0" borderId="0" xfId="1" applyNumberFormat="1" applyFont="1"/>
    <xf numFmtId="0" fontId="0" fillId="7" borderId="0" xfId="0" applyFill="1"/>
    <xf numFmtId="165" fontId="0" fillId="7" borderId="0" xfId="0" applyNumberFormat="1" applyFill="1"/>
    <xf numFmtId="43" fontId="3" fillId="0" borderId="0" xfId="1" applyFont="1"/>
    <xf numFmtId="0" fontId="0" fillId="0" borderId="0" xfId="0" applyAlignment="1">
      <alignment horizontal="right"/>
    </xf>
    <xf numFmtId="165" fontId="3" fillId="7" borderId="0" xfId="1" applyNumberFormat="1" applyFont="1" applyFill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165" fontId="3" fillId="8" borderId="0" xfId="1" applyNumberFormat="1" applyFont="1" applyFill="1"/>
    <xf numFmtId="43" fontId="3" fillId="0" borderId="0" xfId="1" applyFont="1"/>
    <xf numFmtId="0" fontId="0" fillId="0" borderId="2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65" fontId="3" fillId="0" borderId="0" xfId="1" applyNumberFormat="1" applyFont="1"/>
    <xf numFmtId="0" fontId="0" fillId="2" borderId="2" xfId="0" applyFill="1" applyBorder="1" applyAlignment="1" applyProtection="1">
      <protection locked="0"/>
    </xf>
    <xf numFmtId="0" fontId="0" fillId="0" borderId="2" xfId="0" applyBorder="1" applyAlignment="1" applyProtection="1"/>
    <xf numFmtId="165" fontId="3" fillId="0" borderId="2" xfId="1" applyNumberFormat="1" applyFont="1" applyBorder="1"/>
    <xf numFmtId="165" fontId="3" fillId="2" borderId="2" xfId="1" applyNumberFormat="1" applyFont="1" applyFill="1" applyBorder="1" applyProtection="1">
      <protection locked="0"/>
    </xf>
    <xf numFmtId="165" fontId="3" fillId="0" borderId="2" xfId="1" applyNumberFormat="1" applyFont="1" applyBorder="1" applyProtection="1"/>
    <xf numFmtId="165" fontId="1" fillId="3" borderId="2" xfId="1" applyNumberFormat="1" applyFont="1" applyFill="1" applyBorder="1"/>
    <xf numFmtId="165" fontId="1" fillId="4" borderId="2" xfId="1" applyNumberFormat="1" applyFont="1" applyFill="1" applyBorder="1"/>
    <xf numFmtId="0" fontId="0" fillId="4" borderId="0" xfId="0" applyFill="1"/>
    <xf numFmtId="0" fontId="0" fillId="2" borderId="0" xfId="0" applyFill="1"/>
    <xf numFmtId="0" fontId="0" fillId="0" borderId="0" xfId="0" applyFill="1"/>
    <xf numFmtId="0" fontId="0" fillId="5" borderId="2" xfId="0" applyFill="1" applyBorder="1" applyProtection="1">
      <protection locked="0"/>
    </xf>
    <xf numFmtId="165" fontId="3" fillId="5" borderId="2" xfId="1" applyNumberFormat="1" applyFont="1" applyFill="1" applyBorder="1" applyProtection="1">
      <protection locked="0"/>
    </xf>
    <xf numFmtId="0" fontId="0" fillId="9" borderId="2" xfId="0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/>
    <xf numFmtId="165" fontId="3" fillId="0" borderId="0" xfId="1" applyNumberFormat="1" applyFont="1"/>
    <xf numFmtId="165" fontId="3" fillId="4" borderId="0" xfId="1" applyNumberFormat="1" applyFont="1" applyFill="1"/>
    <xf numFmtId="165" fontId="3" fillId="2" borderId="0" xfId="1" applyNumberFormat="1" applyFont="1" applyFill="1"/>
    <xf numFmtId="165" fontId="3" fillId="7" borderId="0" xfId="1" applyNumberFormat="1" applyFont="1" applyFill="1"/>
    <xf numFmtId="165" fontId="3" fillId="7" borderId="2" xfId="1" applyNumberFormat="1" applyFont="1" applyFill="1" applyBorder="1"/>
    <xf numFmtId="0" fontId="0" fillId="0" borderId="0" xfId="0" applyFill="1" applyBorder="1" applyAlignment="1">
      <alignment horizontal="center"/>
    </xf>
    <xf numFmtId="165" fontId="3" fillId="5" borderId="2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left"/>
    </xf>
    <xf numFmtId="165" fontId="3" fillId="5" borderId="2" xfId="1" applyNumberFormat="1" applyFont="1" applyFill="1" applyBorder="1"/>
    <xf numFmtId="165" fontId="3" fillId="5" borderId="1" xfId="1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3" fontId="3" fillId="5" borderId="2" xfId="1" applyFont="1" applyFill="1" applyBorder="1" applyAlignment="1"/>
    <xf numFmtId="165" fontId="3" fillId="5" borderId="2" xfId="1" applyNumberFormat="1" applyFont="1" applyFill="1" applyBorder="1" applyAlignment="1"/>
    <xf numFmtId="43" fontId="3" fillId="5" borderId="2" xfId="1" applyFont="1" applyFill="1" applyBorder="1" applyAlignment="1">
      <alignment horizontal="center"/>
    </xf>
    <xf numFmtId="165" fontId="2" fillId="0" borderId="0" xfId="0" applyNumberFormat="1" applyFont="1"/>
    <xf numFmtId="43" fontId="0" fillId="5" borderId="2" xfId="0" applyNumberFormat="1" applyFill="1" applyBorder="1"/>
    <xf numFmtId="165" fontId="3" fillId="0" borderId="0" xfId="1" applyNumberFormat="1" applyFont="1"/>
    <xf numFmtId="165" fontId="3" fillId="9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/>
    <xf numFmtId="165" fontId="3" fillId="9" borderId="2" xfId="1" applyNumberFormat="1" applyFont="1" applyFill="1" applyBorder="1" applyAlignment="1"/>
    <xf numFmtId="0" fontId="0" fillId="0" borderId="0" xfId="0" applyFont="1"/>
    <xf numFmtId="0" fontId="0" fillId="7" borderId="2" xfId="0" applyFill="1" applyBorder="1" applyAlignment="1" applyProtection="1">
      <alignment horizontal="center"/>
      <protection locked="0"/>
    </xf>
    <xf numFmtId="1" fontId="3" fillId="7" borderId="2" xfId="1" applyNumberFormat="1" applyFont="1" applyFill="1" applyBorder="1" applyAlignment="1" applyProtection="1">
      <alignment horizontal="center"/>
      <protection locked="0"/>
    </xf>
    <xf numFmtId="1" fontId="3" fillId="7" borderId="1" xfId="1" applyNumberFormat="1" applyFont="1" applyFill="1" applyBorder="1" applyAlignment="1" applyProtection="1">
      <alignment horizontal="center"/>
      <protection locked="0"/>
    </xf>
    <xf numFmtId="1" fontId="0" fillId="7" borderId="2" xfId="0" applyNumberFormat="1" applyFill="1" applyBorder="1" applyAlignment="1" applyProtection="1">
      <alignment horizontal="center"/>
      <protection locked="0"/>
    </xf>
    <xf numFmtId="1" fontId="0" fillId="7" borderId="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/>
    <xf numFmtId="165" fontId="3" fillId="7" borderId="2" xfId="1" applyNumberFormat="1" applyFont="1" applyFill="1" applyBorder="1" applyAlignment="1" applyProtection="1">
      <alignment horizontal="center"/>
      <protection locked="0"/>
    </xf>
    <xf numFmtId="165" fontId="3" fillId="7" borderId="2" xfId="1" applyNumberFormat="1" applyFont="1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 applyProtection="1">
      <alignment horizontal="center"/>
      <protection locked="0"/>
    </xf>
    <xf numFmtId="165" fontId="3" fillId="5" borderId="0" xfId="1" applyNumberFormat="1" applyFont="1" applyFill="1" applyBorder="1" applyAlignment="1" applyProtection="1">
      <alignment horizontal="center"/>
      <protection locked="0"/>
    </xf>
    <xf numFmtId="165" fontId="3" fillId="5" borderId="0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7" borderId="2" xfId="0" applyFill="1" applyBorder="1" applyAlignment="1" applyProtection="1">
      <alignment horizontal="center"/>
      <protection locked="0"/>
    </xf>
    <xf numFmtId="165" fontId="3" fillId="0" borderId="0" xfId="1" applyNumberFormat="1" applyFont="1"/>
    <xf numFmtId="0" fontId="8" fillId="0" borderId="0" xfId="0" applyFont="1"/>
    <xf numFmtId="0" fontId="6" fillId="0" borderId="0" xfId="0" quotePrefix="1" applyFont="1"/>
    <xf numFmtId="0" fontId="0" fillId="7" borderId="2" xfId="0" applyFill="1" applyBorder="1" applyAlignment="1" applyProtection="1">
      <alignment horizontal="center"/>
      <protection locked="0"/>
    </xf>
    <xf numFmtId="165" fontId="3" fillId="7" borderId="2" xfId="1" applyNumberFormat="1" applyFont="1" applyFill="1" applyBorder="1" applyAlignment="1" applyProtection="1">
      <alignment horizontal="center"/>
      <protection locked="0"/>
    </xf>
    <xf numFmtId="0" fontId="8" fillId="7" borderId="0" xfId="0" applyFont="1" applyFill="1"/>
    <xf numFmtId="0" fontId="6" fillId="0" borderId="2" xfId="0" applyFont="1" applyBorder="1" applyAlignment="1">
      <alignment horizontal="center" vertical="center" textRotation="90" wrapText="1"/>
    </xf>
    <xf numFmtId="167" fontId="0" fillId="0" borderId="0" xfId="0" applyNumberFormat="1"/>
    <xf numFmtId="0" fontId="0" fillId="7" borderId="2" xfId="0" applyFill="1" applyBorder="1" applyAlignment="1" applyProtection="1">
      <alignment horizontal="center"/>
      <protection locked="0"/>
    </xf>
    <xf numFmtId="43" fontId="3" fillId="0" borderId="0" xfId="1" applyFont="1"/>
    <xf numFmtId="0" fontId="5" fillId="0" borderId="0" xfId="0" applyFont="1" applyAlignment="1">
      <alignment horizontal="center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0" fontId="0" fillId="0" borderId="6" xfId="0" applyBorder="1" applyAlignment="1"/>
    <xf numFmtId="0" fontId="0" fillId="5" borderId="0" xfId="0" applyFill="1" applyBorder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4" fillId="0" borderId="0" xfId="0" applyNumberFormat="1" applyFont="1"/>
    <xf numFmtId="0" fontId="0" fillId="7" borderId="6" xfId="0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0" fillId="8" borderId="2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left"/>
    </xf>
    <xf numFmtId="0" fontId="0" fillId="5" borderId="3" xfId="0" applyFill="1" applyBorder="1" applyProtection="1"/>
    <xf numFmtId="0" fontId="0" fillId="5" borderId="1" xfId="0" applyFill="1" applyBorder="1" applyProtection="1"/>
    <xf numFmtId="0" fontId="0" fillId="5" borderId="1" xfId="0" applyFill="1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165" fontId="3" fillId="8" borderId="7" xfId="1" applyNumberFormat="1" applyFont="1" applyFill="1" applyBorder="1" applyAlignment="1"/>
    <xf numFmtId="0" fontId="0" fillId="7" borderId="2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165" fontId="3" fillId="8" borderId="2" xfId="1" applyNumberFormat="1" applyFont="1" applyFill="1" applyBorder="1" applyAlignment="1">
      <alignment horizontal="center"/>
    </xf>
    <xf numFmtId="0" fontId="0" fillId="7" borderId="2" xfId="0" applyFill="1" applyBorder="1" applyAlignment="1" applyProtection="1">
      <alignment horizontal="center"/>
      <protection locked="0"/>
    </xf>
    <xf numFmtId="165" fontId="3" fillId="7" borderId="2" xfId="1" applyNumberFormat="1" applyFont="1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 vertical="center" wrapText="1"/>
    </xf>
    <xf numFmtId="165" fontId="3" fillId="8" borderId="1" xfId="1" applyNumberFormat="1" applyFont="1" applyFill="1" applyBorder="1" applyAlignment="1">
      <alignment horizontal="center"/>
    </xf>
    <xf numFmtId="165" fontId="3" fillId="8" borderId="3" xfId="1" applyNumberFormat="1" applyFont="1" applyFill="1" applyBorder="1" applyAlignment="1">
      <alignment horizontal="center"/>
    </xf>
    <xf numFmtId="165" fontId="3" fillId="8" borderId="7" xfId="1" applyNumberFormat="1" applyFont="1" applyFill="1" applyBorder="1" applyAlignment="1">
      <alignment horizontal="center"/>
    </xf>
    <xf numFmtId="165" fontId="3" fillId="8" borderId="2" xfId="1" applyNumberFormat="1" applyFont="1" applyFill="1" applyBorder="1" applyAlignment="1">
      <alignment horizontal="center"/>
    </xf>
    <xf numFmtId="165" fontId="3" fillId="7" borderId="2" xfId="1" applyNumberFormat="1" applyFont="1" applyFill="1" applyBorder="1" applyAlignment="1" applyProtection="1">
      <alignment horizontal="center"/>
      <protection locked="0"/>
    </xf>
    <xf numFmtId="165" fontId="3" fillId="9" borderId="1" xfId="1" applyNumberFormat="1" applyFont="1" applyFill="1" applyBorder="1" applyAlignment="1">
      <alignment horizontal="center"/>
    </xf>
    <xf numFmtId="165" fontId="3" fillId="9" borderId="7" xfId="1" applyNumberFormat="1" applyFont="1" applyFill="1" applyBorder="1" applyAlignment="1">
      <alignment horizontal="center"/>
    </xf>
    <xf numFmtId="165" fontId="3" fillId="10" borderId="2" xfId="1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165" fontId="3" fillId="8" borderId="1" xfId="1" applyNumberFormat="1" applyFont="1" applyFill="1" applyBorder="1" applyAlignment="1" applyProtection="1">
      <alignment horizontal="center"/>
    </xf>
    <xf numFmtId="165" fontId="3" fillId="8" borderId="3" xfId="1" applyNumberFormat="1" applyFont="1" applyFill="1" applyBorder="1" applyAlignment="1" applyProtection="1">
      <alignment horizontal="center"/>
    </xf>
    <xf numFmtId="165" fontId="3" fillId="8" borderId="7" xfId="1" applyNumberFormat="1" applyFont="1" applyFill="1" applyBorder="1" applyAlignment="1" applyProtection="1">
      <alignment horizontal="center"/>
    </xf>
    <xf numFmtId="165" fontId="3" fillId="7" borderId="1" xfId="1" applyNumberFormat="1" applyFont="1" applyFill="1" applyBorder="1" applyAlignment="1" applyProtection="1">
      <alignment horizontal="center"/>
      <protection locked="0"/>
    </xf>
    <xf numFmtId="165" fontId="3" fillId="7" borderId="3" xfId="1" applyNumberFormat="1" applyFont="1" applyFill="1" applyBorder="1" applyAlignment="1" applyProtection="1">
      <alignment horizontal="center"/>
      <protection locked="0"/>
    </xf>
    <xf numFmtId="165" fontId="3" fillId="7" borderId="7" xfId="1" applyNumberFormat="1" applyFont="1" applyFill="1" applyBorder="1" applyAlignment="1" applyProtection="1">
      <alignment horizontal="center"/>
      <protection locked="0"/>
    </xf>
    <xf numFmtId="165" fontId="3" fillId="9" borderId="1" xfId="1" applyNumberFormat="1" applyFont="1" applyFill="1" applyBorder="1" applyAlignment="1">
      <alignment horizontal="left"/>
    </xf>
    <xf numFmtId="165" fontId="3" fillId="9" borderId="3" xfId="1" applyNumberFormat="1" applyFont="1" applyFill="1" applyBorder="1" applyAlignment="1">
      <alignment horizontal="left"/>
    </xf>
    <xf numFmtId="165" fontId="3" fillId="9" borderId="7" xfId="1" applyNumberFormat="1" applyFont="1" applyFill="1" applyBorder="1" applyAlignment="1">
      <alignment horizontal="left"/>
    </xf>
    <xf numFmtId="165" fontId="0" fillId="10" borderId="1" xfId="0" applyNumberFormat="1" applyFill="1" applyBorder="1" applyAlignment="1">
      <alignment horizontal="center"/>
    </xf>
    <xf numFmtId="165" fontId="0" fillId="10" borderId="7" xfId="0" applyNumberFormat="1" applyFill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165" fontId="0" fillId="9" borderId="7" xfId="0" applyNumberFormat="1" applyFill="1" applyBorder="1" applyAlignment="1">
      <alignment horizontal="center"/>
    </xf>
    <xf numFmtId="165" fontId="0" fillId="11" borderId="1" xfId="0" applyNumberFormat="1" applyFill="1" applyBorder="1" applyAlignment="1">
      <alignment horizontal="center"/>
    </xf>
    <xf numFmtId="165" fontId="0" fillId="11" borderId="7" xfId="0" applyNumberFormat="1" applyFill="1" applyBorder="1" applyAlignment="1">
      <alignment horizontal="center"/>
    </xf>
    <xf numFmtId="165" fontId="0" fillId="7" borderId="1" xfId="0" applyNumberFormat="1" applyFill="1" applyBorder="1" applyAlignment="1" applyProtection="1">
      <alignment horizontal="center"/>
      <protection locked="0"/>
    </xf>
    <xf numFmtId="165" fontId="0" fillId="7" borderId="7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 wrapText="1"/>
    </xf>
    <xf numFmtId="43" fontId="3" fillId="9" borderId="1" xfId="1" applyFont="1" applyFill="1" applyBorder="1" applyAlignment="1">
      <alignment horizontal="left"/>
    </xf>
    <xf numFmtId="43" fontId="3" fillId="9" borderId="3" xfId="1" applyFont="1" applyFill="1" applyBorder="1" applyAlignment="1">
      <alignment horizontal="left"/>
    </xf>
    <xf numFmtId="43" fontId="3" fillId="9" borderId="7" xfId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5" fontId="3" fillId="8" borderId="1" xfId="1" applyNumberFormat="1" applyFont="1" applyFill="1" applyBorder="1" applyAlignment="1">
      <alignment horizontal="center" wrapText="1"/>
    </xf>
    <xf numFmtId="165" fontId="3" fillId="8" borderId="3" xfId="1" applyNumberFormat="1" applyFont="1" applyFill="1" applyBorder="1" applyAlignment="1">
      <alignment horizontal="center" wrapText="1"/>
    </xf>
    <xf numFmtId="165" fontId="3" fillId="8" borderId="7" xfId="1" applyNumberFormat="1" applyFont="1" applyFill="1" applyBorder="1" applyAlignment="1">
      <alignment horizontal="center" wrapText="1"/>
    </xf>
    <xf numFmtId="165" fontId="3" fillId="8" borderId="1" xfId="1" applyNumberFormat="1" applyFont="1" applyFill="1" applyBorder="1" applyAlignment="1"/>
    <xf numFmtId="165" fontId="3" fillId="8" borderId="7" xfId="1" applyNumberFormat="1" applyFont="1" applyFill="1" applyBorder="1" applyAlignment="1"/>
    <xf numFmtId="165" fontId="0" fillId="9" borderId="8" xfId="0" applyNumberForma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165" fontId="10" fillId="8" borderId="2" xfId="1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165" fontId="11" fillId="11" borderId="2" xfId="1" applyNumberFormat="1" applyFont="1" applyFill="1" applyBorder="1" applyAlignment="1">
      <alignment horizontal="center"/>
    </xf>
    <xf numFmtId="165" fontId="3" fillId="8" borderId="2" xfId="1" applyNumberFormat="1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165" fontId="3" fillId="7" borderId="1" xfId="1" applyNumberFormat="1" applyFont="1" applyFill="1" applyBorder="1" applyAlignment="1" applyProtection="1">
      <alignment horizontal="left"/>
      <protection locked="0"/>
    </xf>
    <xf numFmtId="165" fontId="3" fillId="7" borderId="7" xfId="1" applyNumberFormat="1" applyFont="1" applyFill="1" applyBorder="1" applyAlignment="1" applyProtection="1">
      <alignment horizontal="left"/>
      <protection locked="0"/>
    </xf>
    <xf numFmtId="9" fontId="3" fillId="7" borderId="2" xfId="3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6" fontId="3" fillId="12" borderId="12" xfId="1" applyNumberFormat="1" applyFont="1" applyFill="1" applyBorder="1" applyAlignment="1">
      <alignment horizontal="center"/>
    </xf>
    <xf numFmtId="166" fontId="3" fillId="12" borderId="13" xfId="1" applyNumberFormat="1" applyFont="1" applyFill="1" applyBorder="1" applyAlignment="1">
      <alignment horizontal="center"/>
    </xf>
    <xf numFmtId="166" fontId="3" fillId="12" borderId="14" xfId="1" applyNumberFormat="1" applyFont="1" applyFill="1" applyBorder="1" applyAlignment="1">
      <alignment horizontal="center"/>
    </xf>
    <xf numFmtId="0" fontId="0" fillId="12" borderId="12" xfId="0" applyFill="1" applyBorder="1" applyAlignment="1" applyProtection="1">
      <alignment horizontal="center"/>
      <protection locked="0"/>
    </xf>
    <xf numFmtId="0" fontId="0" fillId="12" borderId="13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0" fillId="5" borderId="1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5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166" fontId="3" fillId="12" borderId="12" xfId="2" applyNumberFormat="1" applyFont="1" applyFill="1" applyBorder="1" applyAlignment="1" applyProtection="1">
      <alignment horizontal="center"/>
    </xf>
    <xf numFmtId="166" fontId="3" fillId="12" borderId="13" xfId="2" applyNumberFormat="1" applyFont="1" applyFill="1" applyBorder="1" applyAlignment="1" applyProtection="1">
      <alignment horizontal="center"/>
    </xf>
    <xf numFmtId="166" fontId="3" fillId="12" borderId="14" xfId="2" applyNumberFormat="1" applyFont="1" applyFill="1" applyBorder="1" applyAlignment="1" applyProtection="1">
      <alignment horizontal="center"/>
    </xf>
    <xf numFmtId="0" fontId="0" fillId="12" borderId="14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1" xfId="0" applyFill="1" applyBorder="1" applyAlignment="1" applyProtection="1">
      <alignment horizontal="left"/>
    </xf>
    <xf numFmtId="0" fontId="0" fillId="5" borderId="3" xfId="0" applyFill="1" applyBorder="1" applyAlignment="1" applyProtection="1">
      <alignment horizontal="left"/>
    </xf>
    <xf numFmtId="0" fontId="0" fillId="5" borderId="7" xfId="0" applyFill="1" applyBorder="1" applyAlignment="1" applyProtection="1">
      <alignment horizontal="left"/>
    </xf>
    <xf numFmtId="165" fontId="0" fillId="5" borderId="0" xfId="1" applyNumberFormat="1" applyFont="1" applyFill="1" applyBorder="1" applyAlignment="1" applyProtection="1">
      <alignment horizontal="center"/>
      <protection locked="0"/>
    </xf>
    <xf numFmtId="165" fontId="3" fillId="5" borderId="0" xfId="1" applyNumberFormat="1" applyFont="1" applyFill="1" applyBorder="1" applyAlignment="1" applyProtection="1">
      <alignment horizontal="center"/>
      <protection locked="0"/>
    </xf>
    <xf numFmtId="165" fontId="3" fillId="8" borderId="3" xfId="1" applyNumberFormat="1" applyFont="1" applyFill="1" applyBorder="1" applyAlignment="1"/>
    <xf numFmtId="165" fontId="3" fillId="8" borderId="1" xfId="1" applyNumberFormat="1" applyFont="1" applyFill="1" applyBorder="1" applyAlignment="1">
      <alignment horizontal="center" vertical="center"/>
    </xf>
    <xf numFmtId="165" fontId="3" fillId="8" borderId="7" xfId="1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53"/>
  <sheetViews>
    <sheetView tabSelected="1" workbookViewId="0">
      <pane ySplit="9" topLeftCell="A68" activePane="bottomLeft" state="frozen"/>
      <selection pane="bottomLeft" activeCell="J5" sqref="J5:M5"/>
    </sheetView>
  </sheetViews>
  <sheetFormatPr defaultRowHeight="15" x14ac:dyDescent="0.25"/>
  <cols>
    <col min="1" max="1" width="5.42578125" customWidth="1"/>
    <col min="2" max="5" width="5.7109375" customWidth="1"/>
    <col min="6" max="6" width="7" customWidth="1"/>
    <col min="7" max="8" width="5.7109375" customWidth="1"/>
    <col min="9" max="9" width="5" customWidth="1"/>
    <col min="10" max="10" width="5.140625" customWidth="1"/>
    <col min="11" max="11" width="5.28515625" customWidth="1"/>
    <col min="12" max="13" width="5.7109375" customWidth="1"/>
    <col min="14" max="14" width="5" customWidth="1"/>
    <col min="15" max="16" width="5.7109375" customWidth="1"/>
    <col min="17" max="17" width="6.5703125" customWidth="1"/>
    <col min="18" max="18" width="4" customWidth="1"/>
    <col min="19" max="19" width="2.85546875" customWidth="1"/>
  </cols>
  <sheetData>
    <row r="1" spans="1:21" ht="27.75" customHeight="1" thickBot="1" x14ac:dyDescent="0.5">
      <c r="A1" s="225" t="s">
        <v>385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21" ht="18.75" customHeight="1" thickBot="1" x14ac:dyDescent="0.5">
      <c r="A2" s="125" t="s">
        <v>388</v>
      </c>
      <c r="B2" s="211" t="s">
        <v>315</v>
      </c>
      <c r="C2" s="212"/>
      <c r="D2" s="212"/>
      <c r="E2" s="212"/>
      <c r="F2" s="229"/>
      <c r="G2" s="226">
        <f>IF(P121&gt;0,P121,-P122)</f>
        <v>0</v>
      </c>
      <c r="H2" s="227"/>
      <c r="I2" s="228"/>
      <c r="J2" s="113"/>
      <c r="K2" s="211" t="s">
        <v>316</v>
      </c>
      <c r="L2" s="212"/>
      <c r="M2" s="212"/>
      <c r="N2" s="212"/>
      <c r="O2" s="212"/>
      <c r="P2" s="208">
        <f>IF(P152&gt;0,-P152,P153)</f>
        <v>0</v>
      </c>
      <c r="Q2" s="209"/>
      <c r="R2" s="210"/>
    </row>
    <row r="3" spans="1:21" x14ac:dyDescent="0.25">
      <c r="A3" s="231" t="s">
        <v>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3"/>
      <c r="N3" s="23" t="s">
        <v>222</v>
      </c>
      <c r="O3" s="131"/>
      <c r="P3" s="213"/>
      <c r="Q3" s="213"/>
      <c r="R3" s="213"/>
    </row>
    <row r="4" spans="1:21" x14ac:dyDescent="0.25">
      <c r="A4" s="1" t="s">
        <v>0</v>
      </c>
      <c r="B4" s="4"/>
      <c r="C4" s="4"/>
      <c r="D4" s="215" t="s">
        <v>26</v>
      </c>
      <c r="E4" s="215"/>
      <c r="F4" s="215"/>
      <c r="G4" s="215"/>
      <c r="H4" s="1" t="s">
        <v>2</v>
      </c>
      <c r="I4" s="10"/>
      <c r="J4" s="215" t="s">
        <v>26</v>
      </c>
      <c r="K4" s="215"/>
      <c r="L4" s="215"/>
      <c r="M4" s="230"/>
      <c r="N4" s="127"/>
      <c r="O4" s="234" t="s">
        <v>359</v>
      </c>
      <c r="P4" s="235"/>
      <c r="Q4" s="236"/>
      <c r="R4" s="136">
        <v>0</v>
      </c>
    </row>
    <row r="5" spans="1:21" x14ac:dyDescent="0.25">
      <c r="A5" s="1" t="s">
        <v>1</v>
      </c>
      <c r="B5" s="4"/>
      <c r="C5" s="4"/>
      <c r="D5" s="215" t="s">
        <v>26</v>
      </c>
      <c r="E5" s="215"/>
      <c r="F5" s="215"/>
      <c r="G5" s="215"/>
      <c r="H5" s="1" t="s">
        <v>2</v>
      </c>
      <c r="I5" s="10"/>
      <c r="J5" s="215" t="s">
        <v>26</v>
      </c>
      <c r="K5" s="215"/>
      <c r="L5" s="215"/>
      <c r="M5" s="230"/>
      <c r="N5" s="127"/>
      <c r="O5" s="234" t="s">
        <v>360</v>
      </c>
      <c r="P5" s="235"/>
      <c r="Q5" s="236"/>
      <c r="R5" s="128">
        <v>0</v>
      </c>
    </row>
    <row r="6" spans="1:21" x14ac:dyDescent="0.25">
      <c r="A6" s="3" t="s">
        <v>4</v>
      </c>
      <c r="B6" s="5"/>
      <c r="C6" s="5"/>
      <c r="D6" s="214" t="s">
        <v>26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9"/>
      <c r="P6" s="220"/>
      <c r="Q6" s="220"/>
      <c r="R6" s="221"/>
    </row>
    <row r="7" spans="1:21" x14ac:dyDescent="0.25">
      <c r="A7" s="3" t="s">
        <v>5</v>
      </c>
      <c r="B7" s="5"/>
      <c r="C7" s="5"/>
      <c r="D7" s="214" t="s">
        <v>26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9"/>
      <c r="P7" s="220"/>
      <c r="Q7" s="220"/>
      <c r="R7" s="221"/>
    </row>
    <row r="8" spans="1:21" x14ac:dyDescent="0.25">
      <c r="A8" s="3" t="s">
        <v>6</v>
      </c>
      <c r="B8" s="5"/>
      <c r="C8" s="5"/>
      <c r="D8" s="5"/>
      <c r="E8" s="5"/>
      <c r="F8" s="5"/>
      <c r="G8" s="5"/>
      <c r="H8" s="5"/>
      <c r="I8" s="7"/>
      <c r="J8" s="7"/>
      <c r="K8" s="7"/>
      <c r="L8" s="7"/>
      <c r="M8" s="7"/>
      <c r="N8" s="101">
        <v>2</v>
      </c>
      <c r="O8" s="219"/>
      <c r="P8" s="220"/>
      <c r="Q8" s="220"/>
      <c r="R8" s="221"/>
    </row>
    <row r="9" spans="1:21" x14ac:dyDescent="0.25">
      <c r="A9" s="216" t="s">
        <v>22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8"/>
      <c r="N9" s="126">
        <v>0</v>
      </c>
      <c r="O9" s="222"/>
      <c r="P9" s="223"/>
      <c r="Q9" s="223"/>
      <c r="R9" s="224"/>
    </row>
    <row r="10" spans="1:21" ht="9.75" customHeight="1" x14ac:dyDescent="0.25"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1" ht="51" customHeight="1" x14ac:dyDescent="0.25">
      <c r="A11" s="121" t="s">
        <v>338</v>
      </c>
      <c r="B11" s="180" t="s">
        <v>8</v>
      </c>
      <c r="C11" s="180"/>
      <c r="D11" s="180"/>
      <c r="E11" s="180"/>
      <c r="F11" s="180"/>
      <c r="G11" s="57" t="s">
        <v>156</v>
      </c>
      <c r="H11" s="57" t="s">
        <v>157</v>
      </c>
      <c r="I11" s="58" t="s">
        <v>337</v>
      </c>
      <c r="J11" s="58" t="s">
        <v>43</v>
      </c>
      <c r="K11" s="59" t="s">
        <v>159</v>
      </c>
      <c r="L11" s="151" t="s">
        <v>12</v>
      </c>
      <c r="M11" s="151"/>
      <c r="N11" s="151" t="s">
        <v>15</v>
      </c>
      <c r="O11" s="151"/>
      <c r="P11" s="160" t="s">
        <v>16</v>
      </c>
      <c r="Q11" s="162"/>
      <c r="R11" s="161"/>
    </row>
    <row r="12" spans="1:21" x14ac:dyDescent="0.25">
      <c r="A12" s="118"/>
      <c r="B12" s="197"/>
      <c r="C12" s="197"/>
      <c r="D12" s="197"/>
      <c r="E12" s="197"/>
      <c r="F12" s="197"/>
      <c r="G12" s="101"/>
      <c r="H12" s="101"/>
      <c r="I12" s="101"/>
      <c r="J12" s="102"/>
      <c r="K12" s="103"/>
      <c r="L12" s="202"/>
      <c r="M12" s="203"/>
      <c r="N12" s="152" t="str">
        <f>withholding!K4</f>
        <v/>
      </c>
      <c r="O12" s="154"/>
      <c r="P12" s="152">
        <f>withholding!L4</f>
        <v>0</v>
      </c>
      <c r="Q12" s="153"/>
      <c r="R12" s="154"/>
      <c r="U12" t="s">
        <v>26</v>
      </c>
    </row>
    <row r="13" spans="1:21" x14ac:dyDescent="0.25">
      <c r="A13" s="149"/>
      <c r="B13" s="197"/>
      <c r="C13" s="197"/>
      <c r="D13" s="197"/>
      <c r="E13" s="197"/>
      <c r="F13" s="197"/>
      <c r="G13" s="149"/>
      <c r="H13" s="149"/>
      <c r="I13" s="149"/>
      <c r="J13" s="102"/>
      <c r="K13" s="103"/>
      <c r="L13" s="202"/>
      <c r="M13" s="203"/>
      <c r="N13" s="152" t="str">
        <f>withholding!K5</f>
        <v/>
      </c>
      <c r="O13" s="154"/>
      <c r="P13" s="152">
        <f>withholding!L5</f>
        <v>0</v>
      </c>
      <c r="Q13" s="153"/>
      <c r="R13" s="154"/>
    </row>
    <row r="14" spans="1:21" x14ac:dyDescent="0.25">
      <c r="A14" s="146"/>
      <c r="B14" s="197"/>
      <c r="C14" s="197"/>
      <c r="D14" s="197"/>
      <c r="E14" s="197"/>
      <c r="F14" s="197"/>
      <c r="G14" s="114"/>
      <c r="H14" s="101"/>
      <c r="I14" s="114"/>
      <c r="J14" s="104"/>
      <c r="K14" s="105"/>
      <c r="L14" s="166"/>
      <c r="M14" s="168"/>
      <c r="N14" s="152" t="str">
        <f>withholding!K6</f>
        <v/>
      </c>
      <c r="O14" s="154"/>
      <c r="P14" s="152">
        <f>withholding!L6</f>
        <v>0</v>
      </c>
      <c r="Q14" s="153"/>
      <c r="R14" s="154"/>
    </row>
    <row r="15" spans="1:21" x14ac:dyDescent="0.25">
      <c r="A15" s="146"/>
      <c r="B15" s="197"/>
      <c r="C15" s="197"/>
      <c r="D15" s="197"/>
      <c r="E15" s="197"/>
      <c r="F15" s="197"/>
      <c r="G15" s="114"/>
      <c r="H15" s="101"/>
      <c r="I15" s="114"/>
      <c r="J15" s="104"/>
      <c r="K15" s="105"/>
      <c r="L15" s="166"/>
      <c r="M15" s="168"/>
      <c r="N15" s="152" t="str">
        <f>withholding!K7</f>
        <v/>
      </c>
      <c r="O15" s="154"/>
      <c r="P15" s="152">
        <f>withholding!L7</f>
        <v>0</v>
      </c>
      <c r="Q15" s="153"/>
      <c r="R15" s="154"/>
    </row>
    <row r="16" spans="1:21" x14ac:dyDescent="0.25">
      <c r="A16" s="146"/>
      <c r="B16" s="197" t="s">
        <v>26</v>
      </c>
      <c r="C16" s="197"/>
      <c r="D16" s="197"/>
      <c r="E16" s="197"/>
      <c r="F16" s="197"/>
      <c r="G16" s="114"/>
      <c r="H16" s="101"/>
      <c r="I16" s="114"/>
      <c r="J16" s="104"/>
      <c r="K16" s="105"/>
      <c r="L16" s="202">
        <v>0</v>
      </c>
      <c r="M16" s="203"/>
      <c r="N16" s="152" t="str">
        <f>withholding!K8</f>
        <v/>
      </c>
      <c r="O16" s="154"/>
      <c r="P16" s="152">
        <f>withholding!L8</f>
        <v>0</v>
      </c>
      <c r="Q16" s="153"/>
      <c r="R16" s="154"/>
    </row>
    <row r="17" spans="1:19" x14ac:dyDescent="0.25">
      <c r="A17" s="146"/>
      <c r="B17" s="197"/>
      <c r="C17" s="197"/>
      <c r="D17" s="197"/>
      <c r="E17" s="197"/>
      <c r="F17" s="197"/>
      <c r="G17" s="114"/>
      <c r="H17" s="101"/>
      <c r="I17" s="114"/>
      <c r="J17" s="104"/>
      <c r="K17" s="105"/>
      <c r="L17" s="202">
        <v>0</v>
      </c>
      <c r="M17" s="203"/>
      <c r="N17" s="152" t="str">
        <f>withholding!K9</f>
        <v/>
      </c>
      <c r="O17" s="154"/>
      <c r="P17" s="152">
        <f>withholding!L9</f>
        <v>0</v>
      </c>
      <c r="Q17" s="153"/>
      <c r="R17" s="154"/>
    </row>
    <row r="18" spans="1:19" x14ac:dyDescent="0.25">
      <c r="A18" s="146"/>
      <c r="B18" s="197"/>
      <c r="C18" s="197"/>
      <c r="D18" s="197"/>
      <c r="E18" s="197"/>
      <c r="F18" s="197"/>
      <c r="G18" s="114"/>
      <c r="H18" s="101"/>
      <c r="I18" s="114"/>
      <c r="J18" s="104"/>
      <c r="K18" s="105"/>
      <c r="L18" s="202">
        <v>0</v>
      </c>
      <c r="M18" s="203"/>
      <c r="N18" s="152" t="str">
        <f>withholding!K10</f>
        <v/>
      </c>
      <c r="O18" s="154"/>
      <c r="P18" s="152">
        <f>withholding!L10</f>
        <v>0</v>
      </c>
      <c r="Q18" s="153"/>
      <c r="R18" s="154"/>
    </row>
    <row r="19" spans="1:19" x14ac:dyDescent="0.25">
      <c r="A19" s="146"/>
      <c r="B19" s="197"/>
      <c r="C19" s="197"/>
      <c r="D19" s="197"/>
      <c r="E19" s="197"/>
      <c r="F19" s="197"/>
      <c r="G19" s="114"/>
      <c r="H19" s="101"/>
      <c r="I19" s="114"/>
      <c r="J19" s="104"/>
      <c r="K19" s="105"/>
      <c r="L19" s="202">
        <v>0</v>
      </c>
      <c r="M19" s="203"/>
      <c r="N19" s="152" t="str">
        <f>withholding!K11</f>
        <v/>
      </c>
      <c r="O19" s="154"/>
      <c r="P19" s="152">
        <f>withholding!L11</f>
        <v>0</v>
      </c>
      <c r="Q19" s="153"/>
      <c r="R19" s="154"/>
    </row>
    <row r="20" spans="1:19" ht="9.75" customHeight="1" x14ac:dyDescent="0.25">
      <c r="B20" s="11"/>
      <c r="C20" s="11"/>
      <c r="D20" s="11"/>
      <c r="E20" s="11"/>
      <c r="F20" s="11"/>
    </row>
    <row r="21" spans="1:19" x14ac:dyDescent="0.25">
      <c r="A21" s="13">
        <v>7</v>
      </c>
      <c r="B21" s="6" t="s">
        <v>227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3">
        <v>7</v>
      </c>
      <c r="P21" s="155">
        <f>withholding!N12</f>
        <v>0</v>
      </c>
      <c r="Q21" s="155"/>
      <c r="R21" s="155"/>
    </row>
    <row r="22" spans="1:19" x14ac:dyDescent="0.25">
      <c r="A22" s="13">
        <v>7</v>
      </c>
      <c r="B22" s="6" t="s">
        <v>228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3">
        <v>7</v>
      </c>
      <c r="P22" s="155">
        <f>withholding!O12</f>
        <v>0</v>
      </c>
      <c r="Q22" s="155"/>
      <c r="R22" s="155"/>
    </row>
    <row r="23" spans="1:19" x14ac:dyDescent="0.25">
      <c r="A23" s="13">
        <v>8</v>
      </c>
      <c r="B23" t="s">
        <v>229</v>
      </c>
      <c r="G23" t="s">
        <v>62</v>
      </c>
      <c r="I23" s="156">
        <v>0</v>
      </c>
      <c r="J23" s="156"/>
      <c r="K23" s="13" t="s">
        <v>234</v>
      </c>
      <c r="O23" s="13">
        <v>8</v>
      </c>
      <c r="P23" s="156">
        <v>0</v>
      </c>
      <c r="Q23" s="156"/>
      <c r="R23" s="156"/>
    </row>
    <row r="24" spans="1:19" x14ac:dyDescent="0.25">
      <c r="A24" s="13">
        <v>9</v>
      </c>
      <c r="B24" t="s">
        <v>19</v>
      </c>
      <c r="E24" s="156">
        <v>0</v>
      </c>
      <c r="F24" s="156"/>
      <c r="G24" s="200" t="s">
        <v>114</v>
      </c>
      <c r="H24" s="201"/>
      <c r="I24" s="156">
        <v>0</v>
      </c>
      <c r="J24" s="156"/>
      <c r="K24" t="s">
        <v>39</v>
      </c>
      <c r="O24" s="13">
        <v>9</v>
      </c>
      <c r="P24" s="199">
        <f>E24</f>
        <v>0</v>
      </c>
      <c r="Q24" s="199"/>
      <c r="R24" s="199"/>
    </row>
    <row r="25" spans="1:19" x14ac:dyDescent="0.25">
      <c r="A25" s="13">
        <v>10</v>
      </c>
      <c r="B25" t="s">
        <v>230</v>
      </c>
      <c r="O25" s="13">
        <v>10</v>
      </c>
      <c r="P25" s="156">
        <v>0</v>
      </c>
      <c r="Q25" s="156"/>
      <c r="R25" s="156"/>
    </row>
    <row r="26" spans="1:19" x14ac:dyDescent="0.25">
      <c r="A26" s="13">
        <v>11</v>
      </c>
      <c r="B26" t="s">
        <v>231</v>
      </c>
      <c r="O26" s="13">
        <v>11</v>
      </c>
      <c r="P26" s="156">
        <v>0</v>
      </c>
      <c r="Q26" s="156"/>
      <c r="R26" s="156"/>
    </row>
    <row r="27" spans="1:19" x14ac:dyDescent="0.25">
      <c r="A27" s="13">
        <v>12</v>
      </c>
      <c r="B27" t="s">
        <v>232</v>
      </c>
      <c r="G27" t="s">
        <v>83</v>
      </c>
      <c r="J27" s="156">
        <v>0</v>
      </c>
      <c r="K27" s="156"/>
      <c r="L27" s="205" t="s">
        <v>347</v>
      </c>
      <c r="M27" s="206"/>
      <c r="N27" s="137" t="s">
        <v>26</v>
      </c>
      <c r="O27" s="13">
        <v>12</v>
      </c>
      <c r="P27" s="156">
        <v>0</v>
      </c>
      <c r="Q27" s="156"/>
      <c r="R27" s="156"/>
    </row>
    <row r="28" spans="1:19" x14ac:dyDescent="0.25">
      <c r="A28" s="13">
        <v>12</v>
      </c>
      <c r="B28" t="s">
        <v>60</v>
      </c>
      <c r="G28" t="s">
        <v>83</v>
      </c>
      <c r="J28" s="156">
        <v>0</v>
      </c>
      <c r="K28" s="156"/>
      <c r="L28" s="207"/>
      <c r="M28" s="206"/>
      <c r="N28" s="137" t="s">
        <v>26</v>
      </c>
      <c r="O28" s="13">
        <v>12</v>
      </c>
      <c r="P28" s="156">
        <v>0</v>
      </c>
      <c r="Q28" s="156"/>
      <c r="R28" s="156"/>
    </row>
    <row r="29" spans="1:19" x14ac:dyDescent="0.25">
      <c r="A29" s="13">
        <v>13</v>
      </c>
      <c r="B29" t="s">
        <v>345</v>
      </c>
      <c r="E29" s="156">
        <v>0</v>
      </c>
      <c r="F29" s="156"/>
      <c r="H29" t="s">
        <v>20</v>
      </c>
      <c r="I29" s="204">
        <v>0.15</v>
      </c>
      <c r="J29" s="204"/>
      <c r="K29" s="34"/>
      <c r="L29" t="s">
        <v>348</v>
      </c>
      <c r="O29" s="13">
        <v>13</v>
      </c>
      <c r="P29" s="199">
        <f>E29</f>
        <v>0</v>
      </c>
      <c r="Q29" s="199"/>
      <c r="R29" s="199"/>
    </row>
    <row r="30" spans="1:19" x14ac:dyDescent="0.25">
      <c r="A30" s="13">
        <v>14</v>
      </c>
      <c r="B30" t="s">
        <v>346</v>
      </c>
      <c r="O30" s="13">
        <v>14</v>
      </c>
      <c r="P30" s="156">
        <v>0</v>
      </c>
      <c r="Q30" s="156"/>
      <c r="R30" s="156"/>
    </row>
    <row r="31" spans="1:19" ht="9" customHeight="1" x14ac:dyDescent="0.25">
      <c r="O31" s="14"/>
      <c r="P31" s="11"/>
      <c r="Q31" s="11"/>
      <c r="R31" s="11"/>
      <c r="S31" s="9"/>
    </row>
    <row r="32" spans="1:19" ht="60" customHeight="1" x14ac:dyDescent="0.25">
      <c r="A32" s="121" t="s">
        <v>326</v>
      </c>
      <c r="B32" s="180" t="s">
        <v>17</v>
      </c>
      <c r="C32" s="180"/>
      <c r="D32" s="180"/>
      <c r="E32" s="180"/>
      <c r="F32" s="180"/>
      <c r="G32" s="57" t="s">
        <v>156</v>
      </c>
      <c r="H32" s="57" t="s">
        <v>157</v>
      </c>
      <c r="I32" s="58" t="s">
        <v>158</v>
      </c>
      <c r="J32" s="12" t="s">
        <v>44</v>
      </c>
      <c r="K32" s="12" t="s">
        <v>13</v>
      </c>
      <c r="L32" s="151" t="s">
        <v>12</v>
      </c>
      <c r="M32" s="151"/>
      <c r="N32" s="151" t="s">
        <v>15</v>
      </c>
      <c r="O32" s="151"/>
      <c r="P32" s="160" t="s">
        <v>16</v>
      </c>
      <c r="Q32" s="162"/>
      <c r="R32" s="161"/>
    </row>
    <row r="33" spans="1:18" x14ac:dyDescent="0.25">
      <c r="A33" s="123"/>
      <c r="B33" s="196"/>
      <c r="C33" s="196"/>
      <c r="D33" s="196"/>
      <c r="E33" s="196"/>
      <c r="F33" s="196"/>
      <c r="G33" s="114"/>
      <c r="H33" s="101"/>
      <c r="I33" s="114"/>
      <c r="J33" s="104"/>
      <c r="K33" s="105"/>
      <c r="L33" s="166"/>
      <c r="M33" s="168"/>
      <c r="N33" s="152" t="str">
        <f>withholding!K34</f>
        <v/>
      </c>
      <c r="O33" s="154"/>
      <c r="P33" s="152">
        <f>withholding!L34</f>
        <v>0</v>
      </c>
      <c r="Q33" s="153"/>
      <c r="R33" s="154"/>
    </row>
    <row r="34" spans="1:18" x14ac:dyDescent="0.25">
      <c r="A34" s="147"/>
      <c r="B34" s="196"/>
      <c r="C34" s="196"/>
      <c r="D34" s="196"/>
      <c r="E34" s="196"/>
      <c r="F34" s="196"/>
      <c r="G34" s="114"/>
      <c r="H34" s="101"/>
      <c r="I34" s="114"/>
      <c r="J34" s="104"/>
      <c r="K34" s="105"/>
      <c r="L34" s="166"/>
      <c r="M34" s="168"/>
      <c r="N34" s="152" t="str">
        <f>withholding!K35</f>
        <v/>
      </c>
      <c r="O34" s="154"/>
      <c r="P34" s="152">
        <f>withholding!L35</f>
        <v>0</v>
      </c>
      <c r="Q34" s="153"/>
      <c r="R34" s="154"/>
    </row>
    <row r="35" spans="1:18" x14ac:dyDescent="0.25">
      <c r="A35" s="147"/>
      <c r="B35" s="196"/>
      <c r="C35" s="196"/>
      <c r="D35" s="196"/>
      <c r="E35" s="196"/>
      <c r="F35" s="196"/>
      <c r="G35" s="114"/>
      <c r="H35" s="101"/>
      <c r="I35" s="114"/>
      <c r="J35" s="104"/>
      <c r="K35" s="105"/>
      <c r="L35" s="166"/>
      <c r="M35" s="168"/>
      <c r="N35" s="152" t="str">
        <f>withholding!K36</f>
        <v/>
      </c>
      <c r="O35" s="154"/>
      <c r="P35" s="152">
        <f>withholding!L36</f>
        <v>0</v>
      </c>
      <c r="Q35" s="153"/>
      <c r="R35" s="154"/>
    </row>
    <row r="36" spans="1:18" x14ac:dyDescent="0.25">
      <c r="A36" s="147"/>
      <c r="B36" s="196" t="s">
        <v>26</v>
      </c>
      <c r="C36" s="196"/>
      <c r="D36" s="196"/>
      <c r="E36" s="196"/>
      <c r="F36" s="196"/>
      <c r="G36" s="114"/>
      <c r="H36" s="101"/>
      <c r="I36" s="114"/>
      <c r="J36" s="104"/>
      <c r="K36" s="105"/>
      <c r="L36" s="166"/>
      <c r="M36" s="168"/>
      <c r="N36" s="152" t="str">
        <f>withholding!K37</f>
        <v/>
      </c>
      <c r="O36" s="154"/>
      <c r="P36" s="152">
        <f>withholding!L37</f>
        <v>0</v>
      </c>
      <c r="Q36" s="153"/>
      <c r="R36" s="154"/>
    </row>
    <row r="37" spans="1:18" x14ac:dyDescent="0.25">
      <c r="A37" s="147"/>
      <c r="B37" s="196" t="s">
        <v>26</v>
      </c>
      <c r="C37" s="196"/>
      <c r="D37" s="196"/>
      <c r="E37" s="196"/>
      <c r="F37" s="196"/>
      <c r="G37" s="114"/>
      <c r="H37" s="101"/>
      <c r="I37" s="114"/>
      <c r="J37" s="104"/>
      <c r="K37" s="105"/>
      <c r="L37" s="166"/>
      <c r="M37" s="168"/>
      <c r="N37" s="152" t="str">
        <f>withholding!K38</f>
        <v/>
      </c>
      <c r="O37" s="154"/>
      <c r="P37" s="152">
        <f>withholding!L38</f>
        <v>0</v>
      </c>
      <c r="Q37" s="153"/>
      <c r="R37" s="154"/>
    </row>
    <row r="38" spans="1:18" ht="9" customHeight="1" x14ac:dyDescent="0.25">
      <c r="A38" s="8"/>
      <c r="B38" s="109"/>
      <c r="C38" s="109"/>
      <c r="D38" s="109"/>
      <c r="E38" s="109"/>
      <c r="F38" s="109"/>
      <c r="G38" s="109"/>
      <c r="H38" s="109"/>
      <c r="I38" s="109"/>
      <c r="J38" s="110"/>
      <c r="K38" s="110"/>
      <c r="L38" s="111"/>
      <c r="M38" s="111"/>
      <c r="N38" s="112"/>
      <c r="O38" s="112"/>
      <c r="P38" s="112"/>
      <c r="Q38" s="112"/>
      <c r="R38" s="112"/>
    </row>
    <row r="39" spans="1:18" x14ac:dyDescent="0.25">
      <c r="A39" s="19" t="s">
        <v>30</v>
      </c>
    </row>
    <row r="40" spans="1:18" x14ac:dyDescent="0.25">
      <c r="A40" s="13" t="s">
        <v>18</v>
      </c>
      <c r="B40" s="6" t="s">
        <v>235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3" t="s">
        <v>18</v>
      </c>
      <c r="P40" s="155">
        <f>withholding!N39</f>
        <v>0</v>
      </c>
      <c r="Q40" s="155"/>
      <c r="R40" s="155"/>
    </row>
    <row r="41" spans="1:18" x14ac:dyDescent="0.25">
      <c r="A41" s="13" t="s">
        <v>18</v>
      </c>
      <c r="B41" s="6" t="s">
        <v>236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3" t="s">
        <v>18</v>
      </c>
      <c r="P41" s="155">
        <f>withholding!O39</f>
        <v>0</v>
      </c>
      <c r="Q41" s="155"/>
      <c r="R41" s="155"/>
    </row>
    <row r="42" spans="1:18" ht="15" customHeight="1" x14ac:dyDescent="0.25">
      <c r="A42" s="13">
        <v>17</v>
      </c>
      <c r="B42" s="195" t="s">
        <v>374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3">
        <v>17</v>
      </c>
      <c r="P42" s="156">
        <v>0</v>
      </c>
      <c r="Q42" s="156"/>
      <c r="R42" s="156"/>
    </row>
    <row r="43" spans="1:18" ht="15" customHeight="1" x14ac:dyDescent="0.25">
      <c r="A43" s="13"/>
      <c r="B43" s="195" t="s">
        <v>375</v>
      </c>
      <c r="C43" s="195"/>
      <c r="D43" s="195"/>
      <c r="E43" s="195"/>
      <c r="F43" s="195"/>
      <c r="G43" s="195"/>
      <c r="H43" s="195"/>
      <c r="I43" s="132"/>
      <c r="J43" t="s">
        <v>347</v>
      </c>
      <c r="N43" s="137"/>
      <c r="O43" s="13"/>
      <c r="P43" s="156">
        <v>0</v>
      </c>
      <c r="Q43" s="156"/>
      <c r="R43" s="156"/>
    </row>
    <row r="44" spans="1:18" ht="15" customHeight="1" x14ac:dyDescent="0.25">
      <c r="A44" s="13"/>
      <c r="B44" s="195" t="s">
        <v>375</v>
      </c>
      <c r="C44" s="195"/>
      <c r="D44" s="195"/>
      <c r="E44" s="195"/>
      <c r="F44" s="195"/>
      <c r="G44" s="195"/>
      <c r="H44" s="195"/>
      <c r="I44" s="132"/>
      <c r="J44" t="s">
        <v>347</v>
      </c>
      <c r="N44" s="137"/>
      <c r="O44" s="13"/>
      <c r="P44" s="156">
        <v>0</v>
      </c>
      <c r="Q44" s="156"/>
      <c r="R44" s="156"/>
    </row>
    <row r="45" spans="1:18" x14ac:dyDescent="0.25">
      <c r="A45" s="13">
        <v>18</v>
      </c>
      <c r="B45" t="s">
        <v>37</v>
      </c>
      <c r="G45" t="s">
        <v>83</v>
      </c>
      <c r="J45" s="156">
        <v>0</v>
      </c>
      <c r="K45" s="156"/>
      <c r="L45" t="s">
        <v>233</v>
      </c>
      <c r="O45" s="13">
        <v>18</v>
      </c>
      <c r="P45" s="156">
        <v>0</v>
      </c>
      <c r="Q45" s="156"/>
      <c r="R45" s="156"/>
    </row>
    <row r="46" spans="1:18" x14ac:dyDescent="0.25">
      <c r="A46" s="13">
        <v>18</v>
      </c>
      <c r="B46" t="s">
        <v>38</v>
      </c>
      <c r="G46" t="s">
        <v>83</v>
      </c>
      <c r="J46" s="156">
        <v>0</v>
      </c>
      <c r="K46" s="156"/>
      <c r="L46" t="s">
        <v>233</v>
      </c>
      <c r="O46" s="13">
        <v>18</v>
      </c>
      <c r="P46" s="156">
        <v>0</v>
      </c>
      <c r="Q46" s="156"/>
      <c r="R46" s="156"/>
    </row>
    <row r="47" spans="1:18" x14ac:dyDescent="0.25">
      <c r="A47" s="13">
        <v>19</v>
      </c>
      <c r="B47" t="s">
        <v>376</v>
      </c>
      <c r="O47" s="13">
        <v>19</v>
      </c>
      <c r="P47" s="156">
        <v>0</v>
      </c>
      <c r="Q47" s="156"/>
      <c r="R47" s="156"/>
    </row>
    <row r="48" spans="1:18" x14ac:dyDescent="0.25">
      <c r="A48" s="13">
        <v>20</v>
      </c>
      <c r="B48" t="s">
        <v>21</v>
      </c>
      <c r="G48" s="156">
        <v>0</v>
      </c>
      <c r="H48" s="156"/>
      <c r="I48" s="156"/>
      <c r="J48" t="s">
        <v>237</v>
      </c>
      <c r="O48" s="13">
        <v>20</v>
      </c>
      <c r="P48" s="155">
        <f>'SS PT SD SINT'!B21</f>
        <v>0</v>
      </c>
      <c r="Q48" s="155"/>
      <c r="R48" s="155"/>
    </row>
    <row r="49" spans="1:20" x14ac:dyDescent="0.25">
      <c r="A49" s="13">
        <v>21</v>
      </c>
      <c r="B49" t="s">
        <v>238</v>
      </c>
      <c r="O49" s="13">
        <v>21</v>
      </c>
      <c r="P49" s="156">
        <v>0</v>
      </c>
      <c r="Q49" s="156"/>
      <c r="R49" s="156"/>
    </row>
    <row r="50" spans="1:20" x14ac:dyDescent="0.25">
      <c r="A50" s="13">
        <v>22</v>
      </c>
      <c r="B50" t="s">
        <v>239</v>
      </c>
      <c r="O50" s="13">
        <v>22</v>
      </c>
      <c r="P50" s="155">
        <f>P21+P22+P23+P24+P25+P26+P27+P28+P29+P30+P40+P41+P42+P45+P46+P47+P48+P49+P43+P44</f>
        <v>0</v>
      </c>
      <c r="Q50" s="155"/>
      <c r="R50" s="155"/>
    </row>
    <row r="51" spans="1:20" x14ac:dyDescent="0.25">
      <c r="A51" s="20" t="s">
        <v>31</v>
      </c>
      <c r="O51" s="13"/>
      <c r="P51" s="13"/>
      <c r="Q51" s="13"/>
      <c r="R51" s="13"/>
    </row>
    <row r="52" spans="1:20" x14ac:dyDescent="0.25">
      <c r="A52" s="13">
        <v>23</v>
      </c>
      <c r="B52" t="s">
        <v>240</v>
      </c>
      <c r="O52" s="13">
        <v>23</v>
      </c>
      <c r="P52" s="156">
        <v>0</v>
      </c>
      <c r="Q52" s="156"/>
      <c r="R52" s="156"/>
    </row>
    <row r="53" spans="1:20" x14ac:dyDescent="0.25">
      <c r="A53" s="13">
        <v>24</v>
      </c>
      <c r="B53" t="s">
        <v>241</v>
      </c>
      <c r="O53" s="13">
        <v>24</v>
      </c>
      <c r="P53" s="156">
        <v>0</v>
      </c>
      <c r="Q53" s="156"/>
      <c r="R53" s="156"/>
    </row>
    <row r="54" spans="1:20" x14ac:dyDescent="0.25">
      <c r="A54" s="13">
        <v>25</v>
      </c>
      <c r="B54" t="s">
        <v>242</v>
      </c>
      <c r="O54" s="13">
        <v>25</v>
      </c>
      <c r="P54" s="156">
        <v>0</v>
      </c>
      <c r="Q54" s="156"/>
      <c r="R54" s="156"/>
    </row>
    <row r="55" spans="1:20" hidden="1" x14ac:dyDescent="0.25">
      <c r="A55" s="13">
        <v>26</v>
      </c>
      <c r="B55" t="s">
        <v>243</v>
      </c>
      <c r="O55" s="13">
        <v>26</v>
      </c>
      <c r="P55" s="166">
        <v>0</v>
      </c>
      <c r="Q55" s="167"/>
      <c r="R55" s="168"/>
    </row>
    <row r="56" spans="1:20" x14ac:dyDescent="0.25">
      <c r="A56" s="13">
        <v>27</v>
      </c>
      <c r="B56" t="s">
        <v>244</v>
      </c>
      <c r="O56" s="13">
        <v>27</v>
      </c>
      <c r="P56" s="155">
        <f>ROUND('SS PT SD SINT'!B37+'SS PT SD SINT'!E37,0)</f>
        <v>0</v>
      </c>
      <c r="Q56" s="155"/>
      <c r="R56" s="155"/>
    </row>
    <row r="57" spans="1:20" x14ac:dyDescent="0.25">
      <c r="A57" s="13">
        <v>28</v>
      </c>
      <c r="B57" t="s">
        <v>245</v>
      </c>
      <c r="O57" s="13">
        <v>28</v>
      </c>
      <c r="P57" s="156">
        <v>0</v>
      </c>
      <c r="Q57" s="156"/>
      <c r="R57" s="156"/>
    </row>
    <row r="58" spans="1:20" x14ac:dyDescent="0.25">
      <c r="A58" s="13">
        <v>29</v>
      </c>
      <c r="B58" t="s">
        <v>246</v>
      </c>
      <c r="O58" s="13">
        <v>29</v>
      </c>
      <c r="P58" s="156">
        <v>0</v>
      </c>
      <c r="Q58" s="156"/>
      <c r="R58" s="156"/>
    </row>
    <row r="59" spans="1:20" x14ac:dyDescent="0.25">
      <c r="A59" s="13">
        <v>30</v>
      </c>
      <c r="B59" t="s">
        <v>247</v>
      </c>
      <c r="O59" s="13">
        <v>30</v>
      </c>
      <c r="P59" s="156">
        <v>0</v>
      </c>
      <c r="Q59" s="156"/>
      <c r="R59" s="156"/>
    </row>
    <row r="60" spans="1:20" x14ac:dyDescent="0.25">
      <c r="A60" s="13">
        <v>31</v>
      </c>
      <c r="B60" t="s">
        <v>248</v>
      </c>
      <c r="O60" s="13">
        <v>31</v>
      </c>
      <c r="P60" s="156">
        <v>0</v>
      </c>
      <c r="Q60" s="156"/>
      <c r="R60" s="156"/>
    </row>
    <row r="61" spans="1:20" x14ac:dyDescent="0.25">
      <c r="A61" s="13">
        <v>32</v>
      </c>
      <c r="B61" t="s">
        <v>250</v>
      </c>
      <c r="O61" s="13">
        <v>32</v>
      </c>
      <c r="P61" s="156">
        <v>0</v>
      </c>
      <c r="Q61" s="156"/>
      <c r="R61" s="156"/>
    </row>
    <row r="62" spans="1:20" x14ac:dyDescent="0.25">
      <c r="A62" s="13">
        <v>33</v>
      </c>
      <c r="B62" t="s">
        <v>36</v>
      </c>
      <c r="G62" s="156">
        <v>0</v>
      </c>
      <c r="H62" s="156"/>
      <c r="I62" s="13" t="s">
        <v>249</v>
      </c>
      <c r="J62" s="13"/>
      <c r="K62" s="13"/>
      <c r="L62" s="13"/>
      <c r="M62" s="13"/>
      <c r="O62" s="13">
        <v>33</v>
      </c>
      <c r="P62" s="155">
        <f>'SS PT SD SINT'!H34</f>
        <v>0</v>
      </c>
      <c r="Q62" s="155"/>
      <c r="R62" s="155"/>
      <c r="T62" t="s">
        <v>26</v>
      </c>
    </row>
    <row r="63" spans="1:20" x14ac:dyDescent="0.25">
      <c r="A63" s="13">
        <v>34</v>
      </c>
      <c r="B63" t="s">
        <v>251</v>
      </c>
      <c r="O63" s="13">
        <v>34</v>
      </c>
      <c r="P63" s="156">
        <v>0</v>
      </c>
      <c r="Q63" s="156"/>
      <c r="R63" s="156"/>
    </row>
    <row r="64" spans="1:20" x14ac:dyDescent="0.25">
      <c r="A64" s="13">
        <v>35</v>
      </c>
      <c r="B64" t="s">
        <v>373</v>
      </c>
      <c r="O64" s="13">
        <v>35</v>
      </c>
      <c r="P64" s="155">
        <f>'SS PT SD SINT'!L22</f>
        <v>0</v>
      </c>
      <c r="Q64" s="155"/>
      <c r="R64" s="155"/>
    </row>
    <row r="65" spans="1:18" x14ac:dyDescent="0.25">
      <c r="A65" s="13">
        <v>36</v>
      </c>
      <c r="B65" t="s">
        <v>252</v>
      </c>
      <c r="O65" s="17">
        <v>36</v>
      </c>
      <c r="P65" s="155">
        <f>SUM(P52:P64)</f>
        <v>0</v>
      </c>
      <c r="Q65" s="155"/>
      <c r="R65" s="155"/>
    </row>
    <row r="66" spans="1:18" x14ac:dyDescent="0.25">
      <c r="A66" s="13" t="s">
        <v>23</v>
      </c>
      <c r="B66" t="s">
        <v>253</v>
      </c>
      <c r="O66" s="17" t="s">
        <v>23</v>
      </c>
      <c r="P66" s="185">
        <f>P50-P65</f>
        <v>0</v>
      </c>
      <c r="Q66" s="186"/>
      <c r="R66" s="187"/>
    </row>
    <row r="67" spans="1:18" x14ac:dyDescent="0.25">
      <c r="A67" s="19" t="s">
        <v>29</v>
      </c>
    </row>
    <row r="68" spans="1:18" x14ac:dyDescent="0.25">
      <c r="A68" s="19" t="s">
        <v>32</v>
      </c>
    </row>
    <row r="69" spans="1:18" ht="3" customHeight="1" x14ac:dyDescent="0.25">
      <c r="A69" s="24"/>
      <c r="B69" s="25"/>
      <c r="C69" s="25"/>
      <c r="D69" s="25"/>
      <c r="E69" s="25"/>
      <c r="F69" s="25"/>
      <c r="G69" s="25"/>
      <c r="H69" s="25"/>
      <c r="I69" s="26"/>
      <c r="J69" s="26"/>
      <c r="K69" s="26"/>
      <c r="L69" s="25"/>
      <c r="M69" s="25"/>
      <c r="N69" s="25"/>
      <c r="O69" s="25"/>
      <c r="P69" s="27"/>
      <c r="Q69" s="27"/>
      <c r="R69" s="27"/>
    </row>
    <row r="70" spans="1:18" x14ac:dyDescent="0.25">
      <c r="A70" s="19" t="s">
        <v>40</v>
      </c>
    </row>
    <row r="71" spans="1:18" x14ac:dyDescent="0.25">
      <c r="A71" s="100" t="s">
        <v>261</v>
      </c>
      <c r="B71" t="s">
        <v>94</v>
      </c>
      <c r="D71" s="166">
        <v>0</v>
      </c>
      <c r="E71" s="168"/>
      <c r="F71" s="117" t="s">
        <v>387</v>
      </c>
      <c r="G71" s="188">
        <f>P66*0.1</f>
        <v>0</v>
      </c>
      <c r="H71" s="189"/>
      <c r="I71" t="s">
        <v>254</v>
      </c>
      <c r="O71" t="s">
        <v>262</v>
      </c>
      <c r="P71" s="152">
        <f>IF(D71&gt;G71,D71-G71,0)</f>
        <v>0</v>
      </c>
      <c r="Q71" s="153"/>
      <c r="R71" s="154"/>
    </row>
    <row r="72" spans="1:18" x14ac:dyDescent="0.25">
      <c r="A72" s="100" t="s">
        <v>263</v>
      </c>
      <c r="B72" t="s">
        <v>85</v>
      </c>
      <c r="F72" t="s">
        <v>211</v>
      </c>
      <c r="H72" s="190">
        <f>SUM(P125:Q139)</f>
        <v>0</v>
      </c>
      <c r="I72" s="191"/>
      <c r="K72" t="s">
        <v>372</v>
      </c>
      <c r="M72" s="192">
        <v>0</v>
      </c>
      <c r="N72" s="193"/>
      <c r="O72" t="s">
        <v>263</v>
      </c>
      <c r="P72" s="163">
        <f>M72+H72</f>
        <v>0</v>
      </c>
      <c r="Q72" s="164"/>
      <c r="R72" s="165"/>
    </row>
    <row r="73" spans="1:18" x14ac:dyDescent="0.25">
      <c r="A73" s="100" t="s">
        <v>264</v>
      </c>
      <c r="B73" t="s">
        <v>255</v>
      </c>
      <c r="O73" t="s">
        <v>264</v>
      </c>
      <c r="P73" s="166">
        <v>0</v>
      </c>
      <c r="Q73" s="167"/>
      <c r="R73" s="168"/>
    </row>
    <row r="74" spans="1:18" x14ac:dyDescent="0.25">
      <c r="A74" s="100" t="s">
        <v>265</v>
      </c>
      <c r="B74" t="s">
        <v>256</v>
      </c>
      <c r="O74" t="s">
        <v>265</v>
      </c>
      <c r="P74" s="166">
        <v>0</v>
      </c>
      <c r="Q74" s="167"/>
      <c r="R74" s="168"/>
    </row>
    <row r="75" spans="1:18" x14ac:dyDescent="0.25">
      <c r="A75" s="100"/>
      <c r="B75" t="s">
        <v>364</v>
      </c>
      <c r="P75" s="152">
        <f>MIN(P72+P73+P74,10000)</f>
        <v>0</v>
      </c>
      <c r="Q75" s="153"/>
      <c r="R75" s="154"/>
    </row>
    <row r="76" spans="1:18" x14ac:dyDescent="0.25">
      <c r="A76" s="100" t="s">
        <v>266</v>
      </c>
      <c r="B76" t="s">
        <v>118</v>
      </c>
      <c r="F76" s="166">
        <v>0</v>
      </c>
      <c r="G76" s="168"/>
      <c r="H76" s="106" t="s">
        <v>119</v>
      </c>
      <c r="I76" s="156"/>
      <c r="J76" s="156"/>
      <c r="K76" s="13" t="s">
        <v>120</v>
      </c>
      <c r="L76" s="166">
        <v>0</v>
      </c>
      <c r="M76" s="168"/>
      <c r="N76" t="s">
        <v>257</v>
      </c>
      <c r="O76" t="s">
        <v>266</v>
      </c>
      <c r="P76" s="152">
        <f>L76+I76+F76</f>
        <v>0</v>
      </c>
      <c r="Q76" s="153"/>
      <c r="R76" s="154"/>
    </row>
    <row r="77" spans="1:18" x14ac:dyDescent="0.25">
      <c r="A77" s="100" t="s">
        <v>267</v>
      </c>
      <c r="B77" t="s">
        <v>258</v>
      </c>
      <c r="O77" t="s">
        <v>267</v>
      </c>
      <c r="P77" s="166">
        <v>0</v>
      </c>
      <c r="Q77" s="167"/>
      <c r="R77" s="168"/>
    </row>
    <row r="78" spans="1:18" x14ac:dyDescent="0.25">
      <c r="A78" s="100"/>
      <c r="B78" t="s">
        <v>365</v>
      </c>
      <c r="P78" s="166">
        <v>0</v>
      </c>
      <c r="Q78" s="167"/>
      <c r="R78" s="168"/>
    </row>
    <row r="79" spans="1:18" x14ac:dyDescent="0.25">
      <c r="A79" s="100" t="s">
        <v>268</v>
      </c>
      <c r="B79" t="s">
        <v>259</v>
      </c>
      <c r="I79" s="11"/>
      <c r="J79" s="11"/>
      <c r="K79" s="11"/>
      <c r="O79" t="s">
        <v>268</v>
      </c>
      <c r="P79" s="166">
        <v>0</v>
      </c>
      <c r="Q79" s="167"/>
      <c r="R79" s="168"/>
    </row>
    <row r="80" spans="1:18" x14ac:dyDescent="0.25">
      <c r="A80" s="100" t="s">
        <v>269</v>
      </c>
      <c r="B80" t="s">
        <v>260</v>
      </c>
      <c r="I80" s="11"/>
      <c r="J80" s="11"/>
      <c r="K80" s="11"/>
      <c r="O80" t="s">
        <v>269</v>
      </c>
      <c r="P80" s="152">
        <f>SUM(P71+P75+P76+P77+P78+P79)</f>
        <v>0</v>
      </c>
      <c r="Q80" s="153"/>
      <c r="R80" s="154"/>
    </row>
    <row r="81" spans="1:19" ht="3" customHeight="1" x14ac:dyDescent="0.25">
      <c r="A81" s="24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5"/>
      <c r="M81" s="25"/>
      <c r="N81" s="25"/>
      <c r="O81" s="25"/>
      <c r="P81" s="27"/>
      <c r="Q81" s="27"/>
      <c r="R81" s="27"/>
    </row>
    <row r="82" spans="1:19" x14ac:dyDescent="0.25">
      <c r="A82" s="13">
        <v>40</v>
      </c>
      <c r="B82" t="s">
        <v>270</v>
      </c>
      <c r="O82" s="17">
        <v>40</v>
      </c>
      <c r="P82" s="152">
        <f>'SS PT SD SINT'!G13</f>
        <v>24400</v>
      </c>
      <c r="Q82" s="153"/>
      <c r="R82" s="154"/>
    </row>
    <row r="83" spans="1:19" x14ac:dyDescent="0.25">
      <c r="A83" s="13">
        <v>40</v>
      </c>
      <c r="B83" t="s">
        <v>271</v>
      </c>
      <c r="O83" s="17">
        <v>40</v>
      </c>
      <c r="P83" s="152">
        <f>IF(P80&gt;P82,P80,P82)</f>
        <v>24400</v>
      </c>
      <c r="Q83" s="153"/>
      <c r="R83" s="154"/>
    </row>
    <row r="84" spans="1:19" x14ac:dyDescent="0.25">
      <c r="A84" s="13">
        <v>41</v>
      </c>
      <c r="B84" t="s">
        <v>272</v>
      </c>
      <c r="O84" s="17">
        <v>41</v>
      </c>
      <c r="P84" s="152">
        <f>IF(P66&gt;P83,P66-P83,0)</f>
        <v>0</v>
      </c>
      <c r="Q84" s="153"/>
      <c r="R84" s="154"/>
    </row>
    <row r="85" spans="1:19" x14ac:dyDescent="0.25">
      <c r="A85" s="13">
        <v>43</v>
      </c>
      <c r="B85" t="s">
        <v>273</v>
      </c>
      <c r="O85" s="17">
        <v>43</v>
      </c>
      <c r="P85" s="155">
        <f>P84</f>
        <v>0</v>
      </c>
      <c r="Q85" s="155"/>
      <c r="R85" s="155"/>
    </row>
    <row r="86" spans="1:19" x14ac:dyDescent="0.25">
      <c r="A86" s="13">
        <v>44</v>
      </c>
      <c r="B86" t="s">
        <v>274</v>
      </c>
      <c r="O86" s="17">
        <v>44</v>
      </c>
      <c r="P86" s="155">
        <f>'tax CCC CTC'!D10</f>
        <v>0</v>
      </c>
      <c r="Q86" s="155"/>
      <c r="R86" s="155"/>
    </row>
    <row r="87" spans="1:19" x14ac:dyDescent="0.25">
      <c r="A87" s="13">
        <v>45</v>
      </c>
      <c r="B87" t="s">
        <v>275</v>
      </c>
      <c r="O87" s="17">
        <v>45</v>
      </c>
      <c r="P87" s="156">
        <v>0</v>
      </c>
      <c r="Q87" s="156"/>
      <c r="R87" s="156"/>
    </row>
    <row r="88" spans="1:19" x14ac:dyDescent="0.25">
      <c r="A88" s="13">
        <v>46</v>
      </c>
      <c r="B88" t="s">
        <v>329</v>
      </c>
      <c r="O88" s="17">
        <v>46</v>
      </c>
      <c r="P88" s="156"/>
      <c r="Q88" s="156"/>
      <c r="R88" s="156"/>
    </row>
    <row r="89" spans="1:19" x14ac:dyDescent="0.25">
      <c r="A89" s="13">
        <v>47</v>
      </c>
      <c r="B89" t="s">
        <v>330</v>
      </c>
      <c r="O89" s="17">
        <v>47</v>
      </c>
      <c r="P89" s="194">
        <f>P86+P87+P88</f>
        <v>0</v>
      </c>
      <c r="Q89" s="194"/>
      <c r="R89" s="194"/>
    </row>
    <row r="90" spans="1:19" x14ac:dyDescent="0.25">
      <c r="A90" s="20" t="s">
        <v>117</v>
      </c>
      <c r="O90" s="17"/>
      <c r="P90" s="48"/>
      <c r="Q90" s="48"/>
      <c r="R90" s="48"/>
      <c r="S90" s="9"/>
    </row>
    <row r="91" spans="1:19" x14ac:dyDescent="0.25">
      <c r="A91" s="13">
        <v>48</v>
      </c>
      <c r="B91" t="s">
        <v>276</v>
      </c>
      <c r="O91" s="17">
        <v>48</v>
      </c>
      <c r="P91" s="156">
        <v>0</v>
      </c>
      <c r="Q91" s="156"/>
      <c r="R91" s="156"/>
    </row>
    <row r="92" spans="1:19" x14ac:dyDescent="0.25">
      <c r="A92" s="13">
        <v>49</v>
      </c>
      <c r="B92" t="s">
        <v>27</v>
      </c>
      <c r="E92" t="s">
        <v>24</v>
      </c>
      <c r="G92" s="101">
        <v>0</v>
      </c>
      <c r="I92" t="s">
        <v>25</v>
      </c>
      <c r="M92" s="166">
        <v>0</v>
      </c>
      <c r="N92" s="168"/>
      <c r="O92" s="17">
        <v>49</v>
      </c>
      <c r="P92" s="155">
        <f>'tax CCC CTC'!B27</f>
        <v>0</v>
      </c>
      <c r="Q92" s="155"/>
      <c r="R92" s="155"/>
    </row>
    <row r="93" spans="1:19" x14ac:dyDescent="0.25">
      <c r="A93" s="13">
        <v>50</v>
      </c>
      <c r="B93" t="s">
        <v>277</v>
      </c>
      <c r="O93" s="17">
        <v>50</v>
      </c>
      <c r="P93" s="156">
        <v>0</v>
      </c>
      <c r="Q93" s="156"/>
      <c r="R93" s="156"/>
    </row>
    <row r="94" spans="1:19" x14ac:dyDescent="0.25">
      <c r="A94" s="13">
        <v>51</v>
      </c>
      <c r="B94" t="s">
        <v>278</v>
      </c>
      <c r="O94" s="17">
        <v>51</v>
      </c>
      <c r="P94" s="156">
        <v>0</v>
      </c>
      <c r="Q94" s="156"/>
      <c r="R94" s="156"/>
    </row>
    <row r="95" spans="1:19" x14ac:dyDescent="0.25">
      <c r="A95" s="13">
        <v>52</v>
      </c>
      <c r="B95" t="s">
        <v>28</v>
      </c>
      <c r="J95" t="s">
        <v>313</v>
      </c>
      <c r="K95" t="s">
        <v>313</v>
      </c>
      <c r="O95" s="17">
        <v>52</v>
      </c>
      <c r="P95" s="155">
        <f>'tax CCC CTC'!B42</f>
        <v>0</v>
      </c>
      <c r="Q95" s="155"/>
      <c r="R95" s="155"/>
    </row>
    <row r="96" spans="1:19" x14ac:dyDescent="0.25">
      <c r="A96" s="13">
        <v>53</v>
      </c>
      <c r="B96" t="s">
        <v>279</v>
      </c>
      <c r="O96" s="17">
        <v>53</v>
      </c>
      <c r="P96" s="156">
        <v>0</v>
      </c>
      <c r="Q96" s="156"/>
      <c r="R96" s="156"/>
    </row>
    <row r="97" spans="1:18" x14ac:dyDescent="0.25">
      <c r="A97" s="13">
        <v>54</v>
      </c>
      <c r="B97" t="s">
        <v>280</v>
      </c>
      <c r="O97" s="17">
        <v>54</v>
      </c>
      <c r="P97" s="156">
        <v>0</v>
      </c>
      <c r="Q97" s="156"/>
      <c r="R97" s="156"/>
    </row>
    <row r="98" spans="1:18" x14ac:dyDescent="0.25">
      <c r="A98" s="13">
        <v>55</v>
      </c>
      <c r="B98" t="s">
        <v>281</v>
      </c>
      <c r="O98" s="17">
        <v>55</v>
      </c>
      <c r="P98" s="155">
        <f>SUM(P91:R97)</f>
        <v>0</v>
      </c>
      <c r="Q98" s="155"/>
      <c r="R98" s="155"/>
    </row>
    <row r="99" spans="1:18" x14ac:dyDescent="0.25">
      <c r="A99" s="13">
        <v>56</v>
      </c>
      <c r="B99" t="s">
        <v>282</v>
      </c>
      <c r="O99" s="17">
        <v>56</v>
      </c>
      <c r="P99" s="155">
        <f>IF(P89&gt;P98,P89-P98,0)</f>
        <v>0</v>
      </c>
      <c r="Q99" s="155"/>
      <c r="R99" s="155"/>
    </row>
    <row r="100" spans="1:18" x14ac:dyDescent="0.25">
      <c r="A100" s="19" t="s">
        <v>33</v>
      </c>
    </row>
    <row r="101" spans="1:18" x14ac:dyDescent="0.25">
      <c r="A101" s="13">
        <v>57</v>
      </c>
      <c r="B101" t="s">
        <v>283</v>
      </c>
      <c r="O101" s="13">
        <v>57</v>
      </c>
      <c r="P101" s="155">
        <f>ROUND('SS PT SD SINT'!E36+'SS PT SD SINT'!B36,0)</f>
        <v>0</v>
      </c>
      <c r="Q101" s="155"/>
      <c r="R101" s="155"/>
    </row>
    <row r="102" spans="1:18" x14ac:dyDescent="0.25">
      <c r="A102" s="13">
        <v>58</v>
      </c>
      <c r="B102" t="s">
        <v>284</v>
      </c>
      <c r="O102" s="13">
        <v>58</v>
      </c>
      <c r="P102" s="156">
        <v>0</v>
      </c>
      <c r="Q102" s="156"/>
      <c r="R102" s="156"/>
    </row>
    <row r="103" spans="1:18" x14ac:dyDescent="0.25">
      <c r="A103" s="13">
        <v>59</v>
      </c>
      <c r="B103" t="s">
        <v>285</v>
      </c>
      <c r="O103" s="13">
        <v>59</v>
      </c>
      <c r="P103" s="156">
        <v>0</v>
      </c>
      <c r="Q103" s="156"/>
      <c r="R103" s="156"/>
    </row>
    <row r="104" spans="1:18" x14ac:dyDescent="0.25">
      <c r="A104" t="s">
        <v>331</v>
      </c>
      <c r="B104" t="s">
        <v>286</v>
      </c>
      <c r="O104" t="s">
        <v>331</v>
      </c>
      <c r="P104" s="156">
        <v>0</v>
      </c>
      <c r="Q104" s="156"/>
      <c r="R104" s="156"/>
    </row>
    <row r="105" spans="1:18" x14ac:dyDescent="0.25">
      <c r="A105" t="s">
        <v>332</v>
      </c>
      <c r="B105" t="s">
        <v>287</v>
      </c>
      <c r="O105" t="s">
        <v>332</v>
      </c>
      <c r="P105" s="156">
        <v>0</v>
      </c>
      <c r="Q105" s="156"/>
      <c r="R105" s="156"/>
    </row>
    <row r="106" spans="1:18" x14ac:dyDescent="0.25">
      <c r="A106" s="13">
        <v>61</v>
      </c>
      <c r="B106" t="s">
        <v>333</v>
      </c>
      <c r="O106" s="13">
        <v>61</v>
      </c>
      <c r="P106" s="156">
        <v>0</v>
      </c>
      <c r="Q106" s="156"/>
      <c r="R106" s="156"/>
    </row>
    <row r="107" spans="1:18" x14ac:dyDescent="0.25">
      <c r="A107" s="13">
        <v>62</v>
      </c>
      <c r="B107" t="s">
        <v>288</v>
      </c>
      <c r="O107" s="13">
        <v>62</v>
      </c>
      <c r="P107" s="156">
        <v>0</v>
      </c>
      <c r="Q107" s="156"/>
      <c r="R107" s="156"/>
    </row>
    <row r="108" spans="1:18" x14ac:dyDescent="0.25">
      <c r="A108" s="13">
        <v>63</v>
      </c>
      <c r="B108" t="s">
        <v>289</v>
      </c>
      <c r="O108" s="13">
        <v>63</v>
      </c>
      <c r="P108" s="155">
        <f>SUM(P99:R107)</f>
        <v>0</v>
      </c>
      <c r="Q108" s="155"/>
      <c r="R108" s="155"/>
    </row>
    <row r="109" spans="1:18" x14ac:dyDescent="0.25">
      <c r="A109" s="19" t="s">
        <v>34</v>
      </c>
    </row>
    <row r="110" spans="1:18" x14ac:dyDescent="0.25">
      <c r="A110" s="13">
        <v>64</v>
      </c>
      <c r="B110" t="s">
        <v>290</v>
      </c>
      <c r="O110" s="13">
        <v>64</v>
      </c>
      <c r="P110" s="155">
        <f>ROUND(withholding!L12+withholding!L39,0)</f>
        <v>0</v>
      </c>
      <c r="Q110" s="155"/>
      <c r="R110" s="155"/>
    </row>
    <row r="111" spans="1:18" x14ac:dyDescent="0.25">
      <c r="A111" s="13">
        <v>65</v>
      </c>
      <c r="B111" t="s">
        <v>291</v>
      </c>
      <c r="O111" s="13">
        <v>65</v>
      </c>
      <c r="P111" s="156"/>
      <c r="Q111" s="156"/>
      <c r="R111" s="156"/>
    </row>
    <row r="112" spans="1:18" x14ac:dyDescent="0.25">
      <c r="A112" s="13" t="s">
        <v>334</v>
      </c>
      <c r="B112" t="s">
        <v>35</v>
      </c>
      <c r="I112" s="101">
        <v>0</v>
      </c>
      <c r="J112" t="s">
        <v>314</v>
      </c>
      <c r="O112" s="13" t="s">
        <v>334</v>
      </c>
      <c r="P112" s="155">
        <f>EIC!B17</f>
        <v>0</v>
      </c>
      <c r="Q112" s="155"/>
      <c r="R112" s="155"/>
    </row>
    <row r="113" spans="1:18" x14ac:dyDescent="0.25">
      <c r="A113" s="13">
        <v>67</v>
      </c>
      <c r="B113" t="s">
        <v>377</v>
      </c>
      <c r="G113" t="s">
        <v>185</v>
      </c>
      <c r="L113" s="166">
        <v>0</v>
      </c>
      <c r="M113" s="168"/>
      <c r="N113" t="s">
        <v>292</v>
      </c>
      <c r="O113" s="13">
        <v>67</v>
      </c>
      <c r="P113" s="155">
        <f>'tax CCC CTC'!B49</f>
        <v>0</v>
      </c>
      <c r="Q113" s="155"/>
      <c r="R113" s="155"/>
    </row>
    <row r="114" spans="1:18" x14ac:dyDescent="0.25">
      <c r="A114" s="13">
        <v>68</v>
      </c>
      <c r="B114" t="s">
        <v>293</v>
      </c>
      <c r="O114" s="13">
        <v>68</v>
      </c>
      <c r="P114" s="156">
        <v>0</v>
      </c>
      <c r="Q114" s="156"/>
      <c r="R114" s="156"/>
    </row>
    <row r="115" spans="1:18" x14ac:dyDescent="0.25">
      <c r="A115" s="13">
        <v>69</v>
      </c>
      <c r="B115" t="s">
        <v>294</v>
      </c>
      <c r="O115" s="13">
        <v>69</v>
      </c>
      <c r="P115" s="156">
        <v>0</v>
      </c>
      <c r="Q115" s="156"/>
      <c r="R115" s="156"/>
    </row>
    <row r="116" spans="1:18" x14ac:dyDescent="0.25">
      <c r="A116" s="13">
        <v>70</v>
      </c>
      <c r="B116" t="s">
        <v>295</v>
      </c>
      <c r="O116" s="13">
        <v>70</v>
      </c>
      <c r="P116" s="156">
        <v>0</v>
      </c>
      <c r="Q116" s="156"/>
      <c r="R116" s="156"/>
    </row>
    <row r="117" spans="1:18" x14ac:dyDescent="0.25">
      <c r="A117" s="13">
        <v>71</v>
      </c>
      <c r="B117" t="s">
        <v>296</v>
      </c>
      <c r="O117" s="13">
        <v>71</v>
      </c>
      <c r="P117" s="156">
        <v>0</v>
      </c>
      <c r="Q117" s="156"/>
      <c r="R117" s="156"/>
    </row>
    <row r="118" spans="1:18" x14ac:dyDescent="0.25">
      <c r="A118" s="13">
        <v>72</v>
      </c>
      <c r="B118" t="s">
        <v>297</v>
      </c>
      <c r="O118" s="13">
        <v>72</v>
      </c>
      <c r="P118" s="156">
        <v>0</v>
      </c>
      <c r="Q118" s="156"/>
      <c r="R118" s="156"/>
    </row>
    <row r="119" spans="1:18" x14ac:dyDescent="0.25">
      <c r="A119" s="13">
        <v>73</v>
      </c>
      <c r="B119" t="s">
        <v>298</v>
      </c>
      <c r="O119" s="13">
        <v>73</v>
      </c>
      <c r="P119" s="156">
        <v>0</v>
      </c>
      <c r="Q119" s="156"/>
      <c r="R119" s="156"/>
    </row>
    <row r="120" spans="1:18" x14ac:dyDescent="0.25">
      <c r="A120" s="13">
        <v>74</v>
      </c>
      <c r="B120" t="s">
        <v>299</v>
      </c>
      <c r="O120" s="13">
        <v>74</v>
      </c>
      <c r="P120" s="155">
        <f>SUM(P110:R119)</f>
        <v>0</v>
      </c>
      <c r="Q120" s="155"/>
      <c r="R120" s="155"/>
    </row>
    <row r="121" spans="1:18" x14ac:dyDescent="0.25">
      <c r="A121" s="19" t="s">
        <v>300</v>
      </c>
      <c r="O121" s="20">
        <v>75</v>
      </c>
      <c r="P121" s="159">
        <f>IF(P120&gt;P108,P120-P108,0)</f>
        <v>0</v>
      </c>
      <c r="Q121" s="159"/>
      <c r="R121" s="159"/>
    </row>
    <row r="122" spans="1:18" x14ac:dyDescent="0.25">
      <c r="A122" s="19" t="s">
        <v>301</v>
      </c>
      <c r="O122" s="20">
        <v>78</v>
      </c>
      <c r="P122" s="198">
        <f>IF(P108&gt;P120,P108-P120,0)</f>
        <v>0</v>
      </c>
      <c r="Q122" s="198"/>
      <c r="R122" s="198"/>
    </row>
    <row r="123" spans="1:18" ht="23.25" x14ac:dyDescent="0.35">
      <c r="A123" s="184" t="s">
        <v>187</v>
      </c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</row>
    <row r="124" spans="1:18" ht="63.75" customHeight="1" x14ac:dyDescent="0.25">
      <c r="A124" s="62" t="s">
        <v>7</v>
      </c>
      <c r="B124" s="180" t="s">
        <v>8</v>
      </c>
      <c r="C124" s="180"/>
      <c r="D124" s="180"/>
      <c r="E124" s="180"/>
      <c r="F124" s="180"/>
      <c r="G124" s="57" t="s">
        <v>156</v>
      </c>
      <c r="H124" s="57" t="s">
        <v>157</v>
      </c>
      <c r="I124" s="58" t="s">
        <v>158</v>
      </c>
      <c r="J124" s="58" t="s">
        <v>43</v>
      </c>
      <c r="K124" s="59" t="s">
        <v>159</v>
      </c>
      <c r="L124" s="151" t="s">
        <v>12</v>
      </c>
      <c r="M124" s="151"/>
      <c r="N124" s="151" t="s">
        <v>223</v>
      </c>
      <c r="O124" s="151"/>
      <c r="P124" s="160" t="s">
        <v>224</v>
      </c>
      <c r="Q124" s="161"/>
    </row>
    <row r="125" spans="1:18" x14ac:dyDescent="0.25">
      <c r="A125" s="77">
        <f t="shared" ref="A125:A132" si="0">A12</f>
        <v>0</v>
      </c>
      <c r="B125" s="181">
        <f t="shared" ref="B125:B132" si="1">B12</f>
        <v>0</v>
      </c>
      <c r="C125" s="182"/>
      <c r="D125" s="182"/>
      <c r="E125" s="182"/>
      <c r="F125" s="183"/>
      <c r="G125" s="97">
        <f t="shared" ref="G125:I128" si="2">G12</f>
        <v>0</v>
      </c>
      <c r="H125" s="99">
        <f t="shared" si="2"/>
        <v>0</v>
      </c>
      <c r="I125" s="97">
        <f t="shared" si="2"/>
        <v>0</v>
      </c>
      <c r="J125" s="97">
        <f>J12</f>
        <v>0</v>
      </c>
      <c r="K125" s="150">
        <f t="shared" ref="K125:L128" si="3">K12</f>
        <v>0</v>
      </c>
      <c r="L125" s="157">
        <f t="shared" si="3"/>
        <v>0</v>
      </c>
      <c r="M125" s="158"/>
      <c r="N125" s="152">
        <f>'state withhold'!J3</f>
        <v>0</v>
      </c>
      <c r="O125" s="154"/>
      <c r="P125" s="152">
        <f>'state withhold'!K3</f>
        <v>0</v>
      </c>
      <c r="Q125" s="154"/>
    </row>
    <row r="126" spans="1:18" x14ac:dyDescent="0.25">
      <c r="A126" s="77">
        <f t="shared" si="0"/>
        <v>0</v>
      </c>
      <c r="B126" s="181">
        <f t="shared" si="1"/>
        <v>0</v>
      </c>
      <c r="C126" s="182"/>
      <c r="D126" s="182"/>
      <c r="E126" s="182"/>
      <c r="F126" s="183"/>
      <c r="G126" s="97">
        <f t="shared" si="2"/>
        <v>0</v>
      </c>
      <c r="H126" s="99">
        <f t="shared" si="2"/>
        <v>0</v>
      </c>
      <c r="I126" s="97">
        <f t="shared" si="2"/>
        <v>0</v>
      </c>
      <c r="J126" s="97">
        <f>J13</f>
        <v>0</v>
      </c>
      <c r="K126" s="107">
        <f t="shared" si="3"/>
        <v>0</v>
      </c>
      <c r="L126" s="157">
        <f t="shared" si="3"/>
        <v>0</v>
      </c>
      <c r="M126" s="158"/>
      <c r="N126" s="152">
        <f>'state withhold'!J4</f>
        <v>0</v>
      </c>
      <c r="O126" s="154"/>
      <c r="P126" s="152">
        <f>'state withhold'!K4</f>
        <v>0</v>
      </c>
      <c r="Q126" s="154"/>
    </row>
    <row r="127" spans="1:18" x14ac:dyDescent="0.25">
      <c r="A127" s="97">
        <f t="shared" si="0"/>
        <v>0</v>
      </c>
      <c r="B127" s="169">
        <f t="shared" si="1"/>
        <v>0</v>
      </c>
      <c r="C127" s="170"/>
      <c r="D127" s="170"/>
      <c r="E127" s="170"/>
      <c r="F127" s="171"/>
      <c r="G127" s="97">
        <f t="shared" si="2"/>
        <v>0</v>
      </c>
      <c r="H127" s="98">
        <f t="shared" si="2"/>
        <v>0</v>
      </c>
      <c r="I127" s="97">
        <f t="shared" si="2"/>
        <v>0</v>
      </c>
      <c r="J127" s="97">
        <f>J14</f>
        <v>0</v>
      </c>
      <c r="K127" s="119">
        <f t="shared" si="3"/>
        <v>0</v>
      </c>
      <c r="L127" s="157">
        <f t="shared" si="3"/>
        <v>0</v>
      </c>
      <c r="M127" s="158"/>
      <c r="N127" s="152">
        <f>'state withhold'!J5</f>
        <v>0</v>
      </c>
      <c r="O127" s="154"/>
      <c r="P127" s="152">
        <f>'state withhold'!K5</f>
        <v>0</v>
      </c>
      <c r="Q127" s="154"/>
    </row>
    <row r="128" spans="1:18" x14ac:dyDescent="0.25">
      <c r="A128" s="97">
        <f t="shared" si="0"/>
        <v>0</v>
      </c>
      <c r="B128" s="169">
        <f t="shared" si="1"/>
        <v>0</v>
      </c>
      <c r="C128" s="170"/>
      <c r="D128" s="170"/>
      <c r="E128" s="170"/>
      <c r="F128" s="171"/>
      <c r="G128" s="97">
        <f t="shared" si="2"/>
        <v>0</v>
      </c>
      <c r="H128" s="99">
        <f t="shared" si="2"/>
        <v>0</v>
      </c>
      <c r="I128" s="78">
        <f t="shared" si="2"/>
        <v>0</v>
      </c>
      <c r="J128" s="78">
        <f>J15</f>
        <v>0</v>
      </c>
      <c r="K128" s="119">
        <f t="shared" si="3"/>
        <v>0</v>
      </c>
      <c r="L128" s="157">
        <f t="shared" si="3"/>
        <v>0</v>
      </c>
      <c r="M128" s="158"/>
      <c r="N128" s="152">
        <f>'state withhold'!J6</f>
        <v>0</v>
      </c>
      <c r="O128" s="154"/>
      <c r="P128" s="152">
        <f>'state withhold'!K6</f>
        <v>0</v>
      </c>
      <c r="Q128" s="154"/>
    </row>
    <row r="129" spans="1:17" x14ac:dyDescent="0.25">
      <c r="A129" s="78">
        <f t="shared" si="0"/>
        <v>0</v>
      </c>
      <c r="B129" s="169" t="str">
        <f t="shared" si="1"/>
        <v xml:space="preserve"> </v>
      </c>
      <c r="C129" s="170"/>
      <c r="D129" s="170"/>
      <c r="E129" s="170"/>
      <c r="F129" s="171"/>
      <c r="G129" s="78">
        <f t="shared" ref="G129:L129" si="4">G16</f>
        <v>0</v>
      </c>
      <c r="H129" s="99">
        <f t="shared" si="4"/>
        <v>0</v>
      </c>
      <c r="I129" s="78">
        <f t="shared" si="4"/>
        <v>0</v>
      </c>
      <c r="J129" s="78">
        <f t="shared" si="4"/>
        <v>0</v>
      </c>
      <c r="K129" s="107">
        <f t="shared" si="4"/>
        <v>0</v>
      </c>
      <c r="L129" s="157">
        <f t="shared" si="4"/>
        <v>0</v>
      </c>
      <c r="M129" s="158"/>
      <c r="N129" s="152">
        <f>'state withhold'!J7</f>
        <v>0</v>
      </c>
      <c r="O129" s="154"/>
      <c r="P129" s="152">
        <f>'state withhold'!K7</f>
        <v>0</v>
      </c>
      <c r="Q129" s="154"/>
    </row>
    <row r="130" spans="1:17" x14ac:dyDescent="0.25">
      <c r="A130" s="78">
        <f t="shared" si="0"/>
        <v>0</v>
      </c>
      <c r="B130" s="169">
        <f t="shared" si="1"/>
        <v>0</v>
      </c>
      <c r="C130" s="170"/>
      <c r="D130" s="170"/>
      <c r="E130" s="170"/>
      <c r="F130" s="171"/>
      <c r="G130" s="78">
        <f t="shared" ref="G130:L130" si="5">G17</f>
        <v>0</v>
      </c>
      <c r="H130" s="99">
        <f t="shared" si="5"/>
        <v>0</v>
      </c>
      <c r="I130" s="78">
        <f t="shared" si="5"/>
        <v>0</v>
      </c>
      <c r="J130" s="78">
        <f t="shared" si="5"/>
        <v>0</v>
      </c>
      <c r="K130" s="107">
        <f t="shared" si="5"/>
        <v>0</v>
      </c>
      <c r="L130" s="157">
        <f t="shared" si="5"/>
        <v>0</v>
      </c>
      <c r="M130" s="158"/>
      <c r="N130" s="152">
        <f>'state withhold'!J8</f>
        <v>0</v>
      </c>
      <c r="O130" s="154"/>
      <c r="P130" s="152">
        <f>'state withhold'!K8</f>
        <v>0</v>
      </c>
      <c r="Q130" s="154"/>
    </row>
    <row r="131" spans="1:17" x14ac:dyDescent="0.25">
      <c r="A131" s="78">
        <f t="shared" si="0"/>
        <v>0</v>
      </c>
      <c r="B131" s="169">
        <f t="shared" si="1"/>
        <v>0</v>
      </c>
      <c r="C131" s="170"/>
      <c r="D131" s="170"/>
      <c r="E131" s="170"/>
      <c r="F131" s="171"/>
      <c r="G131" s="78">
        <f t="shared" ref="G131:L131" si="6">G18</f>
        <v>0</v>
      </c>
      <c r="H131" s="99">
        <f t="shared" si="6"/>
        <v>0</v>
      </c>
      <c r="I131" s="78">
        <f t="shared" si="6"/>
        <v>0</v>
      </c>
      <c r="J131" s="78">
        <f t="shared" si="6"/>
        <v>0</v>
      </c>
      <c r="K131" s="107">
        <f t="shared" si="6"/>
        <v>0</v>
      </c>
      <c r="L131" s="157">
        <f t="shared" si="6"/>
        <v>0</v>
      </c>
      <c r="M131" s="158"/>
      <c r="N131" s="152">
        <f>'state withhold'!J9</f>
        <v>0</v>
      </c>
      <c r="O131" s="154"/>
      <c r="P131" s="152">
        <f>'state withhold'!K9</f>
        <v>0</v>
      </c>
      <c r="Q131" s="154"/>
    </row>
    <row r="132" spans="1:17" x14ac:dyDescent="0.25">
      <c r="A132" s="78">
        <f t="shared" si="0"/>
        <v>0</v>
      </c>
      <c r="B132" s="169">
        <f t="shared" si="1"/>
        <v>0</v>
      </c>
      <c r="C132" s="170"/>
      <c r="D132" s="170"/>
      <c r="E132" s="170"/>
      <c r="F132" s="171"/>
      <c r="G132" s="78">
        <f t="shared" ref="G132:L132" si="7">G19</f>
        <v>0</v>
      </c>
      <c r="H132" s="99">
        <f t="shared" si="7"/>
        <v>0</v>
      </c>
      <c r="I132" s="78">
        <f t="shared" si="7"/>
        <v>0</v>
      </c>
      <c r="J132" s="78">
        <f t="shared" si="7"/>
        <v>0</v>
      </c>
      <c r="K132" s="107">
        <f t="shared" si="7"/>
        <v>0</v>
      </c>
      <c r="L132" s="157">
        <f t="shared" si="7"/>
        <v>0</v>
      </c>
      <c r="M132" s="158"/>
      <c r="N132" s="152">
        <f>'state withhold'!J10</f>
        <v>0</v>
      </c>
      <c r="O132" s="154"/>
      <c r="P132" s="152">
        <f>'state withhold'!K10</f>
        <v>0</v>
      </c>
      <c r="Q132" s="154"/>
    </row>
    <row r="134" spans="1:17" ht="63.75" customHeight="1" x14ac:dyDescent="0.25">
      <c r="A134" s="62" t="s">
        <v>7</v>
      </c>
      <c r="B134" s="180" t="s">
        <v>17</v>
      </c>
      <c r="C134" s="180"/>
      <c r="D134" s="180"/>
      <c r="E134" s="180"/>
      <c r="F134" s="180"/>
      <c r="G134" s="57" t="s">
        <v>156</v>
      </c>
      <c r="H134" s="57" t="s">
        <v>157</v>
      </c>
      <c r="I134" s="58" t="s">
        <v>158</v>
      </c>
      <c r="J134" s="58" t="s">
        <v>43</v>
      </c>
      <c r="K134" s="59" t="s">
        <v>159</v>
      </c>
      <c r="L134" s="151" t="s">
        <v>12</v>
      </c>
      <c r="M134" s="151"/>
      <c r="N134" s="151" t="s">
        <v>223</v>
      </c>
      <c r="O134" s="151"/>
      <c r="P134" s="160" t="s">
        <v>224</v>
      </c>
      <c r="Q134" s="161"/>
    </row>
    <row r="135" spans="1:17" x14ac:dyDescent="0.25">
      <c r="A135" s="130" t="s">
        <v>7</v>
      </c>
      <c r="B135" s="169">
        <f>B33</f>
        <v>0</v>
      </c>
      <c r="C135" s="170"/>
      <c r="D135" s="170"/>
      <c r="E135" s="170"/>
      <c r="F135" s="171"/>
      <c r="G135" s="79">
        <f t="shared" ref="G135:J136" si="8">G33</f>
        <v>0</v>
      </c>
      <c r="H135" s="79">
        <f t="shared" si="8"/>
        <v>0</v>
      </c>
      <c r="I135" s="79">
        <f t="shared" si="8"/>
        <v>0</v>
      </c>
      <c r="J135" s="97">
        <f t="shared" si="8"/>
        <v>0</v>
      </c>
      <c r="K135" s="108">
        <v>0</v>
      </c>
      <c r="L135" s="157">
        <f>L33</f>
        <v>0</v>
      </c>
      <c r="M135" s="158"/>
      <c r="N135" s="152">
        <f>'state withhold'!J18</f>
        <v>0</v>
      </c>
      <c r="O135" s="154"/>
      <c r="P135" s="152">
        <f>'state withhold'!K18</f>
        <v>0</v>
      </c>
      <c r="Q135" s="154"/>
    </row>
    <row r="136" spans="1:17" x14ac:dyDescent="0.25">
      <c r="A136" s="78">
        <f>A34</f>
        <v>0</v>
      </c>
      <c r="B136" s="169">
        <f>B34</f>
        <v>0</v>
      </c>
      <c r="C136" s="170"/>
      <c r="D136" s="170"/>
      <c r="E136" s="170"/>
      <c r="F136" s="171"/>
      <c r="G136" s="79">
        <f t="shared" si="8"/>
        <v>0</v>
      </c>
      <c r="H136" s="79">
        <f t="shared" si="8"/>
        <v>0</v>
      </c>
      <c r="I136" s="79">
        <f t="shared" si="8"/>
        <v>0</v>
      </c>
      <c r="J136" s="97">
        <f t="shared" si="8"/>
        <v>0</v>
      </c>
      <c r="K136" s="108">
        <v>0</v>
      </c>
      <c r="L136" s="157">
        <f>L34</f>
        <v>0</v>
      </c>
      <c r="M136" s="158"/>
      <c r="N136" s="152">
        <f>'state withhold'!J19</f>
        <v>0</v>
      </c>
      <c r="O136" s="154"/>
      <c r="P136" s="152">
        <f>'state withhold'!K19</f>
        <v>0</v>
      </c>
      <c r="Q136" s="154"/>
    </row>
    <row r="137" spans="1:17" x14ac:dyDescent="0.25">
      <c r="A137" s="78">
        <f>A35</f>
        <v>0</v>
      </c>
      <c r="B137" s="169">
        <f>B35</f>
        <v>0</v>
      </c>
      <c r="C137" s="170"/>
      <c r="D137" s="170"/>
      <c r="E137" s="170"/>
      <c r="F137" s="171"/>
      <c r="G137" s="79">
        <f t="shared" ref="G137:L137" si="9">G35</f>
        <v>0</v>
      </c>
      <c r="H137" s="79">
        <f t="shared" si="9"/>
        <v>0</v>
      </c>
      <c r="I137" s="79">
        <f t="shared" si="9"/>
        <v>0</v>
      </c>
      <c r="J137" s="97">
        <f t="shared" si="9"/>
        <v>0</v>
      </c>
      <c r="K137" s="108">
        <v>0</v>
      </c>
      <c r="L137" s="157">
        <f t="shared" si="9"/>
        <v>0</v>
      </c>
      <c r="M137" s="158"/>
      <c r="N137" s="152">
        <f>'state withhold'!J20</f>
        <v>0</v>
      </c>
      <c r="O137" s="154"/>
      <c r="P137" s="152">
        <f>'state withhold'!K20</f>
        <v>0</v>
      </c>
      <c r="Q137" s="154"/>
    </row>
    <row r="138" spans="1:17" x14ac:dyDescent="0.25">
      <c r="A138" s="78">
        <f>A36</f>
        <v>0</v>
      </c>
      <c r="B138" s="169" t="str">
        <f>B36</f>
        <v xml:space="preserve"> </v>
      </c>
      <c r="C138" s="170"/>
      <c r="D138" s="170"/>
      <c r="E138" s="170"/>
      <c r="F138" s="171"/>
      <c r="G138" s="79">
        <f t="shared" ref="G138:L138" si="10">G36</f>
        <v>0</v>
      </c>
      <c r="H138" s="79">
        <f t="shared" si="10"/>
        <v>0</v>
      </c>
      <c r="I138" s="79">
        <f t="shared" si="10"/>
        <v>0</v>
      </c>
      <c r="J138" s="97">
        <f t="shared" si="10"/>
        <v>0</v>
      </c>
      <c r="K138" s="108">
        <v>0</v>
      </c>
      <c r="L138" s="157">
        <f t="shared" si="10"/>
        <v>0</v>
      </c>
      <c r="M138" s="158"/>
      <c r="N138" s="152">
        <f>'state withhold'!J21</f>
        <v>0</v>
      </c>
      <c r="O138" s="154"/>
      <c r="P138" s="152">
        <f>'state withhold'!K21</f>
        <v>0</v>
      </c>
      <c r="Q138" s="154"/>
    </row>
    <row r="139" spans="1:17" x14ac:dyDescent="0.25">
      <c r="A139" s="78">
        <f>A37</f>
        <v>0</v>
      </c>
      <c r="B139" s="169" t="str">
        <f>B37</f>
        <v xml:space="preserve"> </v>
      </c>
      <c r="C139" s="170"/>
      <c r="D139" s="170"/>
      <c r="E139" s="170"/>
      <c r="F139" s="171"/>
      <c r="G139" s="79">
        <f t="shared" ref="G139:L139" si="11">G37</f>
        <v>0</v>
      </c>
      <c r="H139" s="79">
        <f t="shared" si="11"/>
        <v>0</v>
      </c>
      <c r="I139" s="79">
        <f t="shared" si="11"/>
        <v>0</v>
      </c>
      <c r="J139" s="97">
        <f t="shared" si="11"/>
        <v>0</v>
      </c>
      <c r="K139" s="108"/>
      <c r="L139" s="157">
        <f t="shared" si="11"/>
        <v>0</v>
      </c>
      <c r="M139" s="158"/>
      <c r="N139" s="152">
        <f>'state withhold'!J22</f>
        <v>0</v>
      </c>
      <c r="O139" s="154"/>
      <c r="P139" s="152">
        <f>'state withhold'!K22</f>
        <v>0</v>
      </c>
      <c r="Q139" s="154"/>
    </row>
    <row r="140" spans="1:17" x14ac:dyDescent="0.25">
      <c r="B140" t="s">
        <v>302</v>
      </c>
      <c r="P140" s="174">
        <f>SUM(P125:Q139)</f>
        <v>0</v>
      </c>
      <c r="Q140" s="175"/>
    </row>
    <row r="141" spans="1:17" x14ac:dyDescent="0.25">
      <c r="A141" s="11">
        <v>4</v>
      </c>
      <c r="B141" s="14" t="s">
        <v>303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>
        <v>4</v>
      </c>
      <c r="P141" s="174">
        <f>P66</f>
        <v>0</v>
      </c>
      <c r="Q141" s="175"/>
    </row>
    <row r="142" spans="1:17" x14ac:dyDescent="0.25">
      <c r="A142" s="11">
        <v>5</v>
      </c>
      <c r="B142" s="14" t="s">
        <v>304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>
        <v>5</v>
      </c>
      <c r="P142" s="178">
        <v>0</v>
      </c>
      <c r="Q142" s="179"/>
    </row>
    <row r="143" spans="1:17" x14ac:dyDescent="0.25">
      <c r="A143" s="11">
        <v>7</v>
      </c>
      <c r="B143" s="14" t="s">
        <v>305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>
        <v>6</v>
      </c>
      <c r="P143" s="174">
        <f>P25</f>
        <v>0</v>
      </c>
      <c r="Q143" s="175"/>
    </row>
    <row r="144" spans="1:17" x14ac:dyDescent="0.25">
      <c r="A144" s="11">
        <v>8</v>
      </c>
      <c r="B144" s="14" t="s">
        <v>306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>
        <v>6</v>
      </c>
      <c r="P144" s="178">
        <v>0</v>
      </c>
      <c r="Q144" s="179"/>
    </row>
    <row r="145" spans="1:17" x14ac:dyDescent="0.25">
      <c r="A145" s="11">
        <v>9</v>
      </c>
      <c r="B145" s="14" t="s">
        <v>307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>
        <v>7</v>
      </c>
      <c r="P145" s="174">
        <f>IF(P141+P142-P144-P143&gt;0,P141+P142-P144-P143,0)</f>
        <v>0</v>
      </c>
      <c r="Q145" s="175"/>
    </row>
    <row r="146" spans="1:17" x14ac:dyDescent="0.25">
      <c r="A146" s="11">
        <v>10</v>
      </c>
      <c r="B146" s="14" t="s">
        <v>391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>
        <v>8</v>
      </c>
      <c r="P146" s="174">
        <f>state!D13</f>
        <v>0</v>
      </c>
      <c r="Q146" s="175"/>
    </row>
    <row r="147" spans="1:17" x14ac:dyDescent="0.25">
      <c r="A147" s="85">
        <v>19</v>
      </c>
      <c r="B147" s="17" t="s">
        <v>308</v>
      </c>
      <c r="O147" s="17">
        <v>19</v>
      </c>
      <c r="P147" s="174">
        <f>state!C21</f>
        <v>28512</v>
      </c>
      <c r="Q147" s="175"/>
    </row>
    <row r="148" spans="1:17" x14ac:dyDescent="0.25">
      <c r="A148" s="85">
        <v>20</v>
      </c>
      <c r="B148" s="17" t="s">
        <v>309</v>
      </c>
      <c r="O148" s="17">
        <v>20</v>
      </c>
      <c r="P148" s="174">
        <f>state!C24</f>
        <v>1464</v>
      </c>
      <c r="Q148" s="175"/>
    </row>
    <row r="149" spans="1:17" x14ac:dyDescent="0.25">
      <c r="A149" s="85">
        <v>22</v>
      </c>
      <c r="B149" s="17" t="s">
        <v>310</v>
      </c>
      <c r="O149" s="17">
        <v>22</v>
      </c>
      <c r="P149" s="174">
        <f>state!D25</f>
        <v>0</v>
      </c>
      <c r="Q149" s="175"/>
    </row>
    <row r="150" spans="1:17" x14ac:dyDescent="0.25">
      <c r="A150" s="85">
        <v>23</v>
      </c>
      <c r="B150" s="17" t="s">
        <v>311</v>
      </c>
      <c r="O150" s="17">
        <v>23</v>
      </c>
      <c r="P150" s="174">
        <f>state!D30</f>
        <v>0</v>
      </c>
      <c r="Q150" s="175"/>
    </row>
    <row r="151" spans="1:17" x14ac:dyDescent="0.25">
      <c r="A151" s="85">
        <v>24</v>
      </c>
      <c r="B151" s="17" t="s">
        <v>310</v>
      </c>
      <c r="O151" s="17">
        <v>24</v>
      </c>
      <c r="P151" s="174">
        <f>state!D31</f>
        <v>0</v>
      </c>
      <c r="Q151" s="175"/>
    </row>
    <row r="152" spans="1:17" x14ac:dyDescent="0.25">
      <c r="A152" s="19" t="s">
        <v>312</v>
      </c>
      <c r="B152" s="17"/>
      <c r="O152" s="17">
        <v>42</v>
      </c>
      <c r="P152" s="176">
        <f>state!D33</f>
        <v>0</v>
      </c>
      <c r="Q152" s="177"/>
    </row>
    <row r="153" spans="1:17" x14ac:dyDescent="0.25">
      <c r="A153" s="19" t="s">
        <v>300</v>
      </c>
      <c r="B153" s="17"/>
      <c r="O153" s="17">
        <v>43</v>
      </c>
      <c r="P153" s="172">
        <f>state!D34</f>
        <v>0</v>
      </c>
      <c r="Q153" s="173"/>
    </row>
  </sheetData>
  <sheetProtection algorithmName="SHA-512" hashValue="fhDffpIqQXkYl4KrZSadfbOCJCmQeUPWrbzqSab0mgB5HSB1m5niGwF7nR1ykNT8Jm64K63oyFJnsJq/n2JOyA==" saltValue="J4fZiqwzJkmvQTbajDh1fg==" spinCount="100000" sheet="1" selectLockedCells="1"/>
  <mergeCells count="261">
    <mergeCell ref="P2:R2"/>
    <mergeCell ref="K2:O2"/>
    <mergeCell ref="P3:R3"/>
    <mergeCell ref="N12:O12"/>
    <mergeCell ref="D7:N7"/>
    <mergeCell ref="A9:M9"/>
    <mergeCell ref="O6:R9"/>
    <mergeCell ref="D6:N6"/>
    <mergeCell ref="A1:R1"/>
    <mergeCell ref="D4:G4"/>
    <mergeCell ref="D5:G5"/>
    <mergeCell ref="G2:I2"/>
    <mergeCell ref="B2:F2"/>
    <mergeCell ref="J4:M4"/>
    <mergeCell ref="J5:M5"/>
    <mergeCell ref="A3:M3"/>
    <mergeCell ref="B12:F12"/>
    <mergeCell ref="L11:M11"/>
    <mergeCell ref="L12:M12"/>
    <mergeCell ref="N11:O11"/>
    <mergeCell ref="B11:F11"/>
    <mergeCell ref="O4:Q4"/>
    <mergeCell ref="O5:Q5"/>
    <mergeCell ref="B13:F13"/>
    <mergeCell ref="L13:M13"/>
    <mergeCell ref="B14:F14"/>
    <mergeCell ref="B16:F16"/>
    <mergeCell ref="N13:O13"/>
    <mergeCell ref="B34:F34"/>
    <mergeCell ref="N34:O34"/>
    <mergeCell ref="I24:J24"/>
    <mergeCell ref="I29:J29"/>
    <mergeCell ref="J28:K28"/>
    <mergeCell ref="L18:M18"/>
    <mergeCell ref="B15:F15"/>
    <mergeCell ref="N15:O15"/>
    <mergeCell ref="N14:O14"/>
    <mergeCell ref="L15:M15"/>
    <mergeCell ref="L16:M16"/>
    <mergeCell ref="B17:F17"/>
    <mergeCell ref="L17:M17"/>
    <mergeCell ref="B18:F18"/>
    <mergeCell ref="N18:O18"/>
    <mergeCell ref="N16:O16"/>
    <mergeCell ref="N17:O17"/>
    <mergeCell ref="L27:M28"/>
    <mergeCell ref="L19:M19"/>
    <mergeCell ref="L14:M14"/>
    <mergeCell ref="N36:O36"/>
    <mergeCell ref="P35:R35"/>
    <mergeCell ref="P21:R21"/>
    <mergeCell ref="P22:R22"/>
    <mergeCell ref="N33:O33"/>
    <mergeCell ref="N32:O32"/>
    <mergeCell ref="N19:O19"/>
    <mergeCell ref="P27:R27"/>
    <mergeCell ref="P19:R19"/>
    <mergeCell ref="P14:R14"/>
    <mergeCell ref="P15:R15"/>
    <mergeCell ref="P17:R17"/>
    <mergeCell ref="P28:R28"/>
    <mergeCell ref="P36:R36"/>
    <mergeCell ref="E29:F29"/>
    <mergeCell ref="G24:H24"/>
    <mergeCell ref="P24:R24"/>
    <mergeCell ref="I23:J23"/>
    <mergeCell ref="B33:F33"/>
    <mergeCell ref="P23:R23"/>
    <mergeCell ref="P25:R25"/>
    <mergeCell ref="P33:R33"/>
    <mergeCell ref="P32:R32"/>
    <mergeCell ref="L37:M37"/>
    <mergeCell ref="B44:H44"/>
    <mergeCell ref="G62:H62"/>
    <mergeCell ref="B32:F32"/>
    <mergeCell ref="L32:M32"/>
    <mergeCell ref="P18:R18"/>
    <mergeCell ref="P16:R16"/>
    <mergeCell ref="B19:F19"/>
    <mergeCell ref="P122:R122"/>
    <mergeCell ref="M92:N92"/>
    <mergeCell ref="P95:R95"/>
    <mergeCell ref="P97:R97"/>
    <mergeCell ref="P98:R98"/>
    <mergeCell ref="B36:F36"/>
    <mergeCell ref="B35:F35"/>
    <mergeCell ref="P34:R34"/>
    <mergeCell ref="P29:R29"/>
    <mergeCell ref="P30:R30"/>
    <mergeCell ref="P26:R26"/>
    <mergeCell ref="L34:M34"/>
    <mergeCell ref="L35:M35"/>
    <mergeCell ref="L33:M33"/>
    <mergeCell ref="J27:K27"/>
    <mergeCell ref="E24:F24"/>
    <mergeCell ref="G71:H71"/>
    <mergeCell ref="I76:J76"/>
    <mergeCell ref="P79:R79"/>
    <mergeCell ref="H72:I72"/>
    <mergeCell ref="M72:N72"/>
    <mergeCell ref="N35:O35"/>
    <mergeCell ref="L36:M36"/>
    <mergeCell ref="P89:R89"/>
    <mergeCell ref="P74:R74"/>
    <mergeCell ref="P80:R80"/>
    <mergeCell ref="L76:M76"/>
    <mergeCell ref="P77:R77"/>
    <mergeCell ref="P82:R82"/>
    <mergeCell ref="P88:R88"/>
    <mergeCell ref="P76:R76"/>
    <mergeCell ref="F76:G76"/>
    <mergeCell ref="P56:R56"/>
    <mergeCell ref="G48:I48"/>
    <mergeCell ref="P41:R41"/>
    <mergeCell ref="P54:R54"/>
    <mergeCell ref="B42:N42"/>
    <mergeCell ref="B43:H43"/>
    <mergeCell ref="D71:E71"/>
    <mergeCell ref="B37:F37"/>
    <mergeCell ref="J46:K46"/>
    <mergeCell ref="P61:R61"/>
    <mergeCell ref="N125:O125"/>
    <mergeCell ref="P125:Q125"/>
    <mergeCell ref="P64:R64"/>
    <mergeCell ref="P105:R105"/>
    <mergeCell ref="P78:R78"/>
    <mergeCell ref="P99:R99"/>
    <mergeCell ref="J45:K45"/>
    <mergeCell ref="P55:R55"/>
    <mergeCell ref="L113:M113"/>
    <mergeCell ref="P112:R112"/>
    <mergeCell ref="P113:R113"/>
    <mergeCell ref="P58:R58"/>
    <mergeCell ref="P59:R59"/>
    <mergeCell ref="P52:R52"/>
    <mergeCell ref="P49:R49"/>
    <mergeCell ref="P53:R53"/>
    <mergeCell ref="P45:R45"/>
    <mergeCell ref="P50:R50"/>
    <mergeCell ref="P47:R47"/>
    <mergeCell ref="P48:R48"/>
    <mergeCell ref="P46:R46"/>
    <mergeCell ref="P66:R66"/>
    <mergeCell ref="A123:R123"/>
    <mergeCell ref="B130:F130"/>
    <mergeCell ref="B132:F132"/>
    <mergeCell ref="P91:R91"/>
    <mergeCell ref="P107:R107"/>
    <mergeCell ref="B129:F129"/>
    <mergeCell ref="L129:M129"/>
    <mergeCell ref="N129:O129"/>
    <mergeCell ref="P129:Q129"/>
    <mergeCell ref="B126:F126"/>
    <mergeCell ref="L126:M126"/>
    <mergeCell ref="N126:O126"/>
    <mergeCell ref="P126:Q126"/>
    <mergeCell ref="B124:F124"/>
    <mergeCell ref="L124:M124"/>
    <mergeCell ref="N124:O124"/>
    <mergeCell ref="P124:Q124"/>
    <mergeCell ref="B131:F131"/>
    <mergeCell ref="B127:F127"/>
    <mergeCell ref="B128:F128"/>
    <mergeCell ref="L131:M131"/>
    <mergeCell ref="N131:O131"/>
    <mergeCell ref="P131:Q131"/>
    <mergeCell ref="L132:M132"/>
    <mergeCell ref="P111:R111"/>
    <mergeCell ref="P103:R103"/>
    <mergeCell ref="B135:F135"/>
    <mergeCell ref="L135:M135"/>
    <mergeCell ref="N135:O135"/>
    <mergeCell ref="P135:Q135"/>
    <mergeCell ref="B137:F137"/>
    <mergeCell ref="L137:M137"/>
    <mergeCell ref="P87:R87"/>
    <mergeCell ref="P110:R110"/>
    <mergeCell ref="B136:F136"/>
    <mergeCell ref="L136:M136"/>
    <mergeCell ref="N136:O136"/>
    <mergeCell ref="N137:O137"/>
    <mergeCell ref="P137:Q137"/>
    <mergeCell ref="B134:F134"/>
    <mergeCell ref="N128:O128"/>
    <mergeCell ref="P128:Q128"/>
    <mergeCell ref="B125:F125"/>
    <mergeCell ref="L125:M125"/>
    <mergeCell ref="P115:R115"/>
    <mergeCell ref="P116:R116"/>
    <mergeCell ref="P117:R117"/>
    <mergeCell ref="P118:R118"/>
    <mergeCell ref="B139:F139"/>
    <mergeCell ref="L139:M139"/>
    <mergeCell ref="N139:O139"/>
    <mergeCell ref="P139:Q139"/>
    <mergeCell ref="B138:F138"/>
    <mergeCell ref="L138:M138"/>
    <mergeCell ref="N138:O138"/>
    <mergeCell ref="P138:Q138"/>
    <mergeCell ref="P153:Q153"/>
    <mergeCell ref="P143:Q143"/>
    <mergeCell ref="P146:Q146"/>
    <mergeCell ref="P140:Q140"/>
    <mergeCell ref="P141:Q141"/>
    <mergeCell ref="P151:Q151"/>
    <mergeCell ref="P152:Q152"/>
    <mergeCell ref="P142:Q142"/>
    <mergeCell ref="P150:Q150"/>
    <mergeCell ref="P144:Q144"/>
    <mergeCell ref="P145:Q145"/>
    <mergeCell ref="P147:Q147"/>
    <mergeCell ref="P148:Q148"/>
    <mergeCell ref="P149:Q149"/>
    <mergeCell ref="P136:Q136"/>
    <mergeCell ref="P119:R119"/>
    <mergeCell ref="P120:R120"/>
    <mergeCell ref="P121:R121"/>
    <mergeCell ref="N134:O134"/>
    <mergeCell ref="P134:Q134"/>
    <mergeCell ref="P40:R40"/>
    <mergeCell ref="N37:O37"/>
    <mergeCell ref="P11:R11"/>
    <mergeCell ref="P12:R12"/>
    <mergeCell ref="P13:R13"/>
    <mergeCell ref="P43:R43"/>
    <mergeCell ref="P44:R44"/>
    <mergeCell ref="P42:R42"/>
    <mergeCell ref="P37:R37"/>
    <mergeCell ref="N132:O132"/>
    <mergeCell ref="P132:Q132"/>
    <mergeCell ref="P60:R60"/>
    <mergeCell ref="P62:R62"/>
    <mergeCell ref="P63:R63"/>
    <mergeCell ref="P84:R84"/>
    <mergeCell ref="P71:R71"/>
    <mergeCell ref="P72:R72"/>
    <mergeCell ref="P73:R73"/>
    <mergeCell ref="L134:M134"/>
    <mergeCell ref="P83:R83"/>
    <mergeCell ref="P65:R65"/>
    <mergeCell ref="P57:R57"/>
    <mergeCell ref="P101:R101"/>
    <mergeCell ref="P114:R114"/>
    <mergeCell ref="P102:R102"/>
    <mergeCell ref="P93:R93"/>
    <mergeCell ref="P94:R94"/>
    <mergeCell ref="P108:R108"/>
    <mergeCell ref="P104:R104"/>
    <mergeCell ref="P75:R75"/>
    <mergeCell ref="L130:M130"/>
    <mergeCell ref="N130:O130"/>
    <mergeCell ref="P130:Q130"/>
    <mergeCell ref="L127:M127"/>
    <mergeCell ref="N127:O127"/>
    <mergeCell ref="P127:Q127"/>
    <mergeCell ref="L128:M128"/>
    <mergeCell ref="P85:R85"/>
    <mergeCell ref="P86:R86"/>
    <mergeCell ref="P106:R106"/>
    <mergeCell ref="P92:R92"/>
    <mergeCell ref="P96:R96"/>
  </mergeCells>
  <dataValidations count="6">
    <dataValidation type="list" allowBlank="1" showInputMessage="1" showErrorMessage="1" sqref="N8" xr:uid="{00000000-0002-0000-0000-000000000000}">
      <formula1>status</formula1>
    </dataValidation>
    <dataValidation type="list" allowBlank="1" showInputMessage="1" showErrorMessage="1" sqref="N9" xr:uid="{00000000-0002-0000-0000-000001000000}">
      <formula1>Blind</formula1>
    </dataValidation>
    <dataValidation type="list" allowBlank="1" showInputMessage="1" showErrorMessage="1" sqref="G12:G19 G33:G37" xr:uid="{00000000-0002-0000-0000-000002000000}">
      <formula1>payperiod</formula1>
    </dataValidation>
    <dataValidation type="list" allowBlank="1" showInputMessage="1" showErrorMessage="1" sqref="I12:I19 I33:I37" xr:uid="{00000000-0002-0000-0000-000003000000}">
      <formula1>married</formula1>
    </dataValidation>
    <dataValidation type="whole" allowBlank="1" showInputMessage="1" showErrorMessage="1" prompt="Enter a number between 0 and 2_x000a_" sqref="G92" xr:uid="{00000000-0002-0000-0000-000004000000}">
      <formula1>0</formula1>
      <formula2>2</formula2>
    </dataValidation>
    <dataValidation type="whole" allowBlank="1" showInputMessage="1" showErrorMessage="1" sqref="I112" xr:uid="{00000000-0002-0000-0000-000005000000}">
      <formula1>0</formula1>
      <formula2>3</formula2>
    </dataValidation>
  </dataValidations>
  <pageMargins left="0.25" right="0.25" top="0.25" bottom="0.25" header="0.3" footer="0.3"/>
  <pageSetup orientation="portrait" r:id="rId1"/>
  <rowBreaks count="1" manualBreakCount="1">
    <brk id="122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lists!$E$2:$E$3</xm:f>
          </x14:formula1>
          <xm:sqref>A12:A19 A33:A37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"/>
  <sheetViews>
    <sheetView workbookViewId="0">
      <selection activeCell="P24" sqref="P24:R24"/>
    </sheetView>
  </sheetViews>
  <sheetFormatPr defaultRowHeight="15" x14ac:dyDescent="0.25"/>
  <sheetData>
    <row r="1" spans="1:2" x14ac:dyDescent="0.25">
      <c r="A1" t="s">
        <v>323</v>
      </c>
    </row>
    <row r="2" spans="1:2" x14ac:dyDescent="0.25">
      <c r="A2" t="s">
        <v>41</v>
      </c>
      <c r="B2" t="s">
        <v>41</v>
      </c>
    </row>
    <row r="3" spans="1:2" x14ac:dyDescent="0.25">
      <c r="A3" t="s">
        <v>51</v>
      </c>
      <c r="B3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"/>
  <sheetViews>
    <sheetView workbookViewId="0">
      <pane ySplit="7" topLeftCell="A8" activePane="bottomLeft" state="frozen"/>
      <selection pane="bottomLeft" activeCell="L42" sqref="L42:M42"/>
    </sheetView>
  </sheetViews>
  <sheetFormatPr defaultRowHeight="15" x14ac:dyDescent="0.25"/>
  <cols>
    <col min="1" max="1" width="5.42578125" customWidth="1"/>
    <col min="2" max="5" width="5.7109375" customWidth="1"/>
    <col min="6" max="6" width="7" customWidth="1"/>
    <col min="7" max="8" width="5.7109375" customWidth="1"/>
    <col min="9" max="9" width="5" customWidth="1"/>
    <col min="10" max="10" width="5.140625" customWidth="1"/>
    <col min="11" max="11" width="5.28515625" customWidth="1"/>
    <col min="12" max="13" width="5.7109375" customWidth="1"/>
    <col min="14" max="14" width="5" customWidth="1"/>
    <col min="15" max="16" width="5.7109375" customWidth="1"/>
    <col min="17" max="17" width="6.5703125" customWidth="1"/>
    <col min="18" max="18" width="4" customWidth="1"/>
    <col min="19" max="19" width="2.85546875" customWidth="1"/>
  </cols>
  <sheetData>
    <row r="1" spans="1:18" ht="27.75" customHeight="1" thickBot="1" x14ac:dyDescent="0.5">
      <c r="A1" s="225" t="s">
        <v>341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18" ht="18.75" customHeight="1" thickBot="1" x14ac:dyDescent="0.5">
      <c r="A2" s="125" t="s">
        <v>335</v>
      </c>
      <c r="B2" s="211" t="s">
        <v>315</v>
      </c>
      <c r="C2" s="212"/>
      <c r="D2" s="212"/>
      <c r="E2" s="212"/>
      <c r="F2" s="229"/>
      <c r="G2" s="226">
        <f>IF(P44&gt;0,P44,-P45)</f>
        <v>0</v>
      </c>
      <c r="H2" s="227"/>
      <c r="I2" s="228"/>
      <c r="J2" s="129"/>
      <c r="K2" s="211" t="s">
        <v>316</v>
      </c>
      <c r="L2" s="212"/>
      <c r="M2" s="212"/>
      <c r="N2" s="212"/>
      <c r="O2" s="212"/>
      <c r="P2" s="208">
        <f>IF(P48&gt;0,-P48,P49)</f>
        <v>0</v>
      </c>
      <c r="Q2" s="209"/>
      <c r="R2" s="210"/>
    </row>
    <row r="3" spans="1:18" x14ac:dyDescent="0.25">
      <c r="A3" s="231" t="s">
        <v>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3"/>
      <c r="N3" s="23" t="s">
        <v>222</v>
      </c>
      <c r="O3" s="131"/>
      <c r="P3" s="213"/>
      <c r="Q3" s="213"/>
      <c r="R3" s="213"/>
    </row>
    <row r="4" spans="1:18" x14ac:dyDescent="0.25">
      <c r="A4" s="234" t="s">
        <v>0</v>
      </c>
      <c r="B4" s="235"/>
      <c r="C4" s="235"/>
      <c r="D4" s="235" t="str">
        <f>'1040 W4 PLANNER 2019'!D4:G4</f>
        <v xml:space="preserve"> </v>
      </c>
      <c r="E4" s="235"/>
      <c r="F4" s="235"/>
      <c r="G4" s="235"/>
      <c r="H4" s="141" t="s">
        <v>2</v>
      </c>
      <c r="I4" s="139"/>
      <c r="J4" s="235" t="str">
        <f>'1040 W4 PLANNER 2019'!J4:M4</f>
        <v xml:space="preserve"> </v>
      </c>
      <c r="K4" s="235"/>
      <c r="L4" s="235"/>
      <c r="M4" s="236"/>
      <c r="N4" s="142">
        <f>'1040 W4 PLANNER 2019'!N4</f>
        <v>0</v>
      </c>
      <c r="O4" s="234" t="s">
        <v>359</v>
      </c>
      <c r="P4" s="235"/>
      <c r="Q4" s="236"/>
      <c r="R4" s="143">
        <f>'1040 W4 PLANNER 2019'!R4</f>
        <v>0</v>
      </c>
    </row>
    <row r="5" spans="1:18" x14ac:dyDescent="0.25">
      <c r="A5" s="141" t="s">
        <v>1</v>
      </c>
      <c r="B5" s="140"/>
      <c r="C5" s="140"/>
      <c r="D5" s="235" t="str">
        <f>'1040 W4 PLANNER 2019'!D5:G5</f>
        <v xml:space="preserve"> </v>
      </c>
      <c r="E5" s="235"/>
      <c r="F5" s="235"/>
      <c r="G5" s="235"/>
      <c r="H5" s="141" t="s">
        <v>2</v>
      </c>
      <c r="I5" s="139"/>
      <c r="J5" s="235" t="str">
        <f>'1040 W4 PLANNER 2019'!J5:M5</f>
        <v xml:space="preserve"> </v>
      </c>
      <c r="K5" s="235"/>
      <c r="L5" s="235"/>
      <c r="M5" s="236"/>
      <c r="N5" s="142">
        <f>'1040 W4 PLANNER 2019'!N5</f>
        <v>0</v>
      </c>
      <c r="O5" s="234" t="s">
        <v>360</v>
      </c>
      <c r="P5" s="235"/>
      <c r="Q5" s="236"/>
      <c r="R5" s="144">
        <f>'1040 W4 PLANNER 2019'!R5</f>
        <v>0</v>
      </c>
    </row>
    <row r="6" spans="1:18" x14ac:dyDescent="0.25">
      <c r="A6" s="141" t="s">
        <v>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4">
        <f>'1040 W4 PLANNER 2019'!N8</f>
        <v>2</v>
      </c>
      <c r="O6" s="219"/>
      <c r="P6" s="220"/>
      <c r="Q6" s="220"/>
      <c r="R6" s="221"/>
    </row>
    <row r="7" spans="1:18" x14ac:dyDescent="0.25">
      <c r="A7" s="234" t="s">
        <v>22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6"/>
      <c r="N7" s="144">
        <f>'1040 W4 PLANNER 2019'!N9</f>
        <v>0</v>
      </c>
      <c r="O7" s="222"/>
      <c r="P7" s="223"/>
      <c r="Q7" s="223"/>
      <c r="R7" s="224"/>
    </row>
    <row r="8" spans="1:18" ht="9.75" customHeight="1" x14ac:dyDescent="0.25"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53.25" customHeight="1" x14ac:dyDescent="0.25">
      <c r="A9" s="121" t="s">
        <v>338</v>
      </c>
      <c r="B9" s="180" t="s">
        <v>8</v>
      </c>
      <c r="C9" s="180"/>
      <c r="D9" s="180"/>
      <c r="E9" s="180"/>
      <c r="F9" s="180"/>
      <c r="G9" s="57" t="s">
        <v>156</v>
      </c>
      <c r="H9" s="57" t="s">
        <v>157</v>
      </c>
      <c r="I9" s="58" t="s">
        <v>337</v>
      </c>
      <c r="J9" s="58" t="s">
        <v>43</v>
      </c>
      <c r="K9" s="59" t="s">
        <v>159</v>
      </c>
      <c r="L9" s="151" t="s">
        <v>12</v>
      </c>
      <c r="M9" s="151"/>
      <c r="N9" s="151" t="s">
        <v>15</v>
      </c>
      <c r="O9" s="151"/>
      <c r="P9" s="160" t="s">
        <v>16</v>
      </c>
      <c r="Q9" s="162"/>
      <c r="R9" s="161"/>
    </row>
    <row r="10" spans="1:18" ht="15" customHeight="1" x14ac:dyDescent="0.25">
      <c r="A10" s="145">
        <f>'1040 W4 PLANNER 2019'!A12</f>
        <v>0</v>
      </c>
      <c r="B10" s="188">
        <f>'1040 W4 PLANNER 2019'!B12:F12</f>
        <v>0</v>
      </c>
      <c r="C10" s="239"/>
      <c r="D10" s="239"/>
      <c r="E10" s="239"/>
      <c r="F10" s="189"/>
      <c r="G10" s="148">
        <f>'1040 W4 PLANNER 2019'!G12</f>
        <v>0</v>
      </c>
      <c r="H10" s="148">
        <f>'1040 W4 PLANNER 2019'!H12</f>
        <v>0</v>
      </c>
      <c r="I10" s="148">
        <f>'1040 W4 PLANNER 2019'!I12</f>
        <v>0</v>
      </c>
      <c r="J10" s="148">
        <f>'1040 W4 PLANNER 2019'!J12</f>
        <v>0</v>
      </c>
      <c r="K10" s="148">
        <f>'1040 W4 PLANNER 2019'!K12</f>
        <v>0</v>
      </c>
      <c r="L10" s="240">
        <f>'1040 W4 PLANNER 2019'!L12:M12</f>
        <v>0</v>
      </c>
      <c r="M10" s="241"/>
      <c r="N10" s="152" t="str">
        <f>'1040 W4 PLANNER 2019'!N12:O12</f>
        <v/>
      </c>
      <c r="O10" s="154"/>
      <c r="P10" s="152">
        <f>'1040 W4 PLANNER 2019'!P12:R12</f>
        <v>0</v>
      </c>
      <c r="Q10" s="153"/>
      <c r="R10" s="154"/>
    </row>
    <row r="11" spans="1:18" ht="15" customHeight="1" x14ac:dyDescent="0.25">
      <c r="A11" s="145">
        <f>'1040 W4 PLANNER 2019'!A13</f>
        <v>0</v>
      </c>
      <c r="B11" s="188">
        <f>'1040 W4 PLANNER 2019'!B13:F13</f>
        <v>0</v>
      </c>
      <c r="C11" s="239"/>
      <c r="D11" s="239"/>
      <c r="E11" s="239"/>
      <c r="F11" s="189"/>
      <c r="G11" s="148">
        <f>'1040 W4 PLANNER 2019'!G13</f>
        <v>0</v>
      </c>
      <c r="H11" s="148">
        <f>'1040 W4 PLANNER 2019'!H13</f>
        <v>0</v>
      </c>
      <c r="I11" s="148">
        <f>'1040 W4 PLANNER 2019'!I13</f>
        <v>0</v>
      </c>
      <c r="J11" s="148">
        <f>'1040 W4 PLANNER 2019'!J13</f>
        <v>0</v>
      </c>
      <c r="K11" s="148">
        <f>'1040 W4 PLANNER 2019'!K13</f>
        <v>0</v>
      </c>
      <c r="L11" s="240">
        <f>'1040 W4 PLANNER 2019'!L13:M13</f>
        <v>0</v>
      </c>
      <c r="M11" s="241"/>
      <c r="N11" s="152" t="str">
        <f>'1040 W4 PLANNER 2019'!N13:O13</f>
        <v/>
      </c>
      <c r="O11" s="154"/>
      <c r="P11" s="152">
        <f>'1040 W4 PLANNER 2019'!P13:R13</f>
        <v>0</v>
      </c>
      <c r="Q11" s="153"/>
      <c r="R11" s="154"/>
    </row>
    <row r="12" spans="1:18" ht="15" customHeight="1" x14ac:dyDescent="0.25">
      <c r="A12" s="145">
        <f>'1040 W4 PLANNER 2019'!A14</f>
        <v>0</v>
      </c>
      <c r="B12" s="188">
        <f>'1040 W4 PLANNER 2019'!B14:F14</f>
        <v>0</v>
      </c>
      <c r="C12" s="239"/>
      <c r="D12" s="239"/>
      <c r="E12" s="239"/>
      <c r="F12" s="189"/>
      <c r="G12" s="148">
        <f>'1040 W4 PLANNER 2019'!G14</f>
        <v>0</v>
      </c>
      <c r="H12" s="148">
        <f>'1040 W4 PLANNER 2019'!H14</f>
        <v>0</v>
      </c>
      <c r="I12" s="148">
        <f>'1040 W4 PLANNER 2019'!I14</f>
        <v>0</v>
      </c>
      <c r="J12" s="148">
        <f>'1040 W4 PLANNER 2019'!J14</f>
        <v>0</v>
      </c>
      <c r="K12" s="148">
        <f>'1040 W4 PLANNER 2019'!K14</f>
        <v>0</v>
      </c>
      <c r="L12" s="240">
        <f>'1040 W4 PLANNER 2019'!L14:M14</f>
        <v>0</v>
      </c>
      <c r="M12" s="241"/>
      <c r="N12" s="152" t="str">
        <f>'1040 W4 PLANNER 2019'!N14:O14</f>
        <v/>
      </c>
      <c r="O12" s="154"/>
      <c r="P12" s="152">
        <f>'1040 W4 PLANNER 2019'!P14:R14</f>
        <v>0</v>
      </c>
      <c r="Q12" s="153"/>
      <c r="R12" s="154"/>
    </row>
    <row r="13" spans="1:18" ht="15" customHeight="1" x14ac:dyDescent="0.25">
      <c r="A13" s="145">
        <f>'1040 W4 PLANNER 2019'!A15</f>
        <v>0</v>
      </c>
      <c r="B13" s="188">
        <f>'1040 W4 PLANNER 2019'!B15:F15</f>
        <v>0</v>
      </c>
      <c r="C13" s="239"/>
      <c r="D13" s="239"/>
      <c r="E13" s="239"/>
      <c r="F13" s="189"/>
      <c r="G13" s="148">
        <f>'1040 W4 PLANNER 2019'!G15</f>
        <v>0</v>
      </c>
      <c r="H13" s="148">
        <f>'1040 W4 PLANNER 2019'!H15</f>
        <v>0</v>
      </c>
      <c r="I13" s="148">
        <f>'1040 W4 PLANNER 2019'!I15</f>
        <v>0</v>
      </c>
      <c r="J13" s="148">
        <f>'1040 W4 PLANNER 2019'!J15</f>
        <v>0</v>
      </c>
      <c r="K13" s="148">
        <f>'1040 W4 PLANNER 2019'!K15</f>
        <v>0</v>
      </c>
      <c r="L13" s="240">
        <f>'1040 W4 PLANNER 2019'!L15:M15</f>
        <v>0</v>
      </c>
      <c r="M13" s="241"/>
      <c r="N13" s="152" t="str">
        <f>'1040 W4 PLANNER 2019'!N15:O15</f>
        <v/>
      </c>
      <c r="O13" s="154"/>
      <c r="P13" s="152">
        <f>'1040 W4 PLANNER 2019'!P15:R15</f>
        <v>0</v>
      </c>
      <c r="Q13" s="153"/>
      <c r="R13" s="154"/>
    </row>
    <row r="14" spans="1:18" x14ac:dyDescent="0.25">
      <c r="A14" s="13">
        <v>7</v>
      </c>
      <c r="B14" s="6" t="s">
        <v>227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3">
        <v>7</v>
      </c>
      <c r="P14" s="155">
        <f>withholding!N12</f>
        <v>0</v>
      </c>
      <c r="Q14" s="155"/>
      <c r="R14" s="155"/>
    </row>
    <row r="15" spans="1:18" x14ac:dyDescent="0.25">
      <c r="A15" s="13">
        <v>7</v>
      </c>
      <c r="B15" s="6" t="s">
        <v>228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3">
        <v>7</v>
      </c>
      <c r="P15" s="155">
        <f>withholding!O12</f>
        <v>0</v>
      </c>
      <c r="Q15" s="155"/>
      <c r="R15" s="155"/>
    </row>
    <row r="16" spans="1:18" x14ac:dyDescent="0.25">
      <c r="A16" s="13">
        <v>8</v>
      </c>
      <c r="B16" t="s">
        <v>229</v>
      </c>
      <c r="G16" t="s">
        <v>62</v>
      </c>
      <c r="I16" s="199">
        <v>0</v>
      </c>
      <c r="J16" s="199"/>
      <c r="K16" s="13" t="s">
        <v>234</v>
      </c>
      <c r="O16" s="13">
        <v>8</v>
      </c>
      <c r="P16" s="155">
        <f>'1040 W4 PLANNER 2019'!P23:R23</f>
        <v>0</v>
      </c>
      <c r="Q16" s="155"/>
      <c r="R16" s="155"/>
    </row>
    <row r="17" spans="1:18" x14ac:dyDescent="0.25">
      <c r="A17" s="13">
        <v>9</v>
      </c>
      <c r="B17" t="s">
        <v>19</v>
      </c>
      <c r="E17" s="199">
        <v>0</v>
      </c>
      <c r="F17" s="199"/>
      <c r="G17" s="200" t="s">
        <v>114</v>
      </c>
      <c r="H17" s="201"/>
      <c r="I17" s="199">
        <v>0</v>
      </c>
      <c r="J17" s="199"/>
      <c r="K17" t="s">
        <v>39</v>
      </c>
      <c r="O17" s="13">
        <v>9</v>
      </c>
      <c r="P17" s="199">
        <f>'1040 W4 PLANNER 2019'!P24:R24</f>
        <v>0</v>
      </c>
      <c r="Q17" s="199"/>
      <c r="R17" s="199"/>
    </row>
    <row r="18" spans="1:18" x14ac:dyDescent="0.25">
      <c r="A18" s="13" t="s">
        <v>18</v>
      </c>
      <c r="B18" s="6" t="s">
        <v>235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3" t="s">
        <v>18</v>
      </c>
      <c r="P18" s="155">
        <f>withholding!N39</f>
        <v>0</v>
      </c>
      <c r="Q18" s="155"/>
      <c r="R18" s="155"/>
    </row>
    <row r="19" spans="1:18" x14ac:dyDescent="0.25">
      <c r="A19" s="13" t="s">
        <v>18</v>
      </c>
      <c r="B19" s="6" t="s">
        <v>236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3" t="s">
        <v>18</v>
      </c>
      <c r="P19" s="155">
        <f>withholding!O39</f>
        <v>0</v>
      </c>
      <c r="Q19" s="155"/>
      <c r="R19" s="155"/>
    </row>
    <row r="20" spans="1:18" x14ac:dyDescent="0.25">
      <c r="A20" s="13">
        <v>20</v>
      </c>
      <c r="B20" t="s">
        <v>21</v>
      </c>
      <c r="G20" s="199">
        <f>'1040 W4 PLANNER 2019'!G48:I48</f>
        <v>0</v>
      </c>
      <c r="H20" s="199"/>
      <c r="I20" s="199"/>
      <c r="J20" t="s">
        <v>237</v>
      </c>
      <c r="O20" s="13">
        <v>20</v>
      </c>
      <c r="P20" s="155">
        <f>'SS PT SD SINT'!B21</f>
        <v>0</v>
      </c>
      <c r="Q20" s="155"/>
      <c r="R20" s="155"/>
    </row>
    <row r="21" spans="1:18" x14ac:dyDescent="0.25">
      <c r="A21" s="13">
        <v>22</v>
      </c>
      <c r="B21" t="s">
        <v>239</v>
      </c>
      <c r="O21" s="13">
        <v>22</v>
      </c>
      <c r="P21" s="155">
        <f>'1040 W4 PLANNER 2019'!P50:R50</f>
        <v>0</v>
      </c>
      <c r="Q21" s="155"/>
      <c r="R21" s="155"/>
    </row>
    <row r="22" spans="1:18" x14ac:dyDescent="0.25">
      <c r="A22" s="20" t="s">
        <v>31</v>
      </c>
      <c r="O22" s="13"/>
      <c r="P22" s="13"/>
      <c r="Q22" s="13"/>
      <c r="R22" s="13"/>
    </row>
    <row r="23" spans="1:18" x14ac:dyDescent="0.25">
      <c r="A23" s="13">
        <v>36</v>
      </c>
      <c r="B23" t="s">
        <v>381</v>
      </c>
      <c r="O23" s="17">
        <v>36</v>
      </c>
      <c r="P23" s="155">
        <f>'1040 W4 PLANNER 2019'!P65:R65</f>
        <v>0</v>
      </c>
      <c r="Q23" s="155"/>
      <c r="R23" s="155"/>
    </row>
    <row r="24" spans="1:18" x14ac:dyDescent="0.25">
      <c r="A24" s="13" t="s">
        <v>23</v>
      </c>
      <c r="B24" t="s">
        <v>253</v>
      </c>
      <c r="O24" s="17" t="s">
        <v>23</v>
      </c>
      <c r="P24" s="155">
        <f>P21-P23</f>
        <v>0</v>
      </c>
      <c r="Q24" s="155"/>
      <c r="R24" s="155"/>
    </row>
    <row r="25" spans="1:18" x14ac:dyDescent="0.25">
      <c r="A25" s="19" t="s">
        <v>29</v>
      </c>
    </row>
    <row r="26" spans="1:18" x14ac:dyDescent="0.25">
      <c r="A26" s="19" t="s">
        <v>32</v>
      </c>
    </row>
    <row r="27" spans="1:18" ht="3" customHeight="1" x14ac:dyDescent="0.25">
      <c r="A27" s="24"/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25"/>
      <c r="M27" s="25"/>
      <c r="N27" s="25"/>
      <c r="O27" s="25"/>
      <c r="P27" s="27"/>
      <c r="Q27" s="27"/>
      <c r="R27" s="27"/>
    </row>
    <row r="28" spans="1:18" x14ac:dyDescent="0.25">
      <c r="A28" s="19" t="s">
        <v>40</v>
      </c>
    </row>
    <row r="29" spans="1:18" x14ac:dyDescent="0.25">
      <c r="A29" s="100" t="s">
        <v>269</v>
      </c>
      <c r="B29" t="s">
        <v>260</v>
      </c>
      <c r="I29" s="11"/>
      <c r="J29" s="11"/>
      <c r="K29" s="11"/>
      <c r="O29" t="s">
        <v>269</v>
      </c>
      <c r="P29" s="152">
        <f>'1040 W4 PLANNER 2019'!P80:R80</f>
        <v>0</v>
      </c>
      <c r="Q29" s="153"/>
      <c r="R29" s="154"/>
    </row>
    <row r="30" spans="1:18" ht="3" customHeight="1" x14ac:dyDescent="0.25">
      <c r="A30" s="24"/>
      <c r="B30" s="25"/>
      <c r="C30" s="25"/>
      <c r="D30" s="25"/>
      <c r="E30" s="25"/>
      <c r="F30" s="25"/>
      <c r="G30" s="25"/>
      <c r="H30" s="25"/>
      <c r="I30" s="26"/>
      <c r="J30" s="26"/>
      <c r="K30" s="26"/>
      <c r="L30" s="25"/>
      <c r="M30" s="25"/>
      <c r="N30" s="25"/>
      <c r="O30" s="25"/>
      <c r="P30" s="27"/>
      <c r="Q30" s="27"/>
      <c r="R30" s="27"/>
    </row>
    <row r="31" spans="1:18" x14ac:dyDescent="0.25">
      <c r="A31" s="13">
        <v>40</v>
      </c>
      <c r="B31" t="s">
        <v>270</v>
      </c>
      <c r="O31" s="17">
        <v>40</v>
      </c>
      <c r="P31" s="152">
        <f>'SS PT SD SINT'!G13</f>
        <v>24400</v>
      </c>
      <c r="Q31" s="153"/>
      <c r="R31" s="154"/>
    </row>
    <row r="32" spans="1:18" x14ac:dyDescent="0.25">
      <c r="A32" s="13">
        <v>40</v>
      </c>
      <c r="B32" t="s">
        <v>271</v>
      </c>
      <c r="O32" s="17">
        <v>40</v>
      </c>
      <c r="P32" s="152">
        <f>IF(P29&gt;P31,P29,P31)</f>
        <v>24400</v>
      </c>
      <c r="Q32" s="153"/>
      <c r="R32" s="154"/>
    </row>
    <row r="33" spans="1:19" x14ac:dyDescent="0.25">
      <c r="A33" s="13">
        <v>43</v>
      </c>
      <c r="B33" t="s">
        <v>273</v>
      </c>
      <c r="O33" s="17">
        <v>43</v>
      </c>
      <c r="P33" s="155">
        <f>'1040 W4 PLANNER 2019'!P85:R85</f>
        <v>0</v>
      </c>
      <c r="Q33" s="155"/>
      <c r="R33" s="155"/>
    </row>
    <row r="34" spans="1:19" x14ac:dyDescent="0.25">
      <c r="A34" s="13">
        <v>44</v>
      </c>
      <c r="B34" t="s">
        <v>274</v>
      </c>
      <c r="O34" s="17">
        <v>44</v>
      </c>
      <c r="P34" s="155">
        <f>'tax CCC CTC'!D10</f>
        <v>0</v>
      </c>
      <c r="Q34" s="155"/>
      <c r="R34" s="155"/>
    </row>
    <row r="35" spans="1:19" x14ac:dyDescent="0.25">
      <c r="A35" s="20" t="s">
        <v>117</v>
      </c>
      <c r="O35" s="17"/>
      <c r="P35" s="48"/>
      <c r="Q35" s="48"/>
      <c r="R35" s="48"/>
      <c r="S35" s="9"/>
    </row>
    <row r="36" spans="1:19" x14ac:dyDescent="0.25">
      <c r="A36" s="13">
        <v>55</v>
      </c>
      <c r="B36" t="s">
        <v>281</v>
      </c>
      <c r="O36" s="17">
        <v>55</v>
      </c>
      <c r="P36" s="155">
        <f>'1040 W4 PLANNER 2019'!P98:R98</f>
        <v>0</v>
      </c>
      <c r="Q36" s="155"/>
      <c r="R36" s="155"/>
    </row>
    <row r="37" spans="1:19" x14ac:dyDescent="0.25">
      <c r="A37" s="13">
        <v>56</v>
      </c>
      <c r="B37" t="s">
        <v>282</v>
      </c>
      <c r="O37" s="17">
        <v>56</v>
      </c>
      <c r="P37" s="155">
        <f>'1040 W4 PLANNER 2019'!P99:R99</f>
        <v>0</v>
      </c>
      <c r="Q37" s="155"/>
      <c r="R37" s="155"/>
    </row>
    <row r="38" spans="1:19" x14ac:dyDescent="0.25">
      <c r="A38" s="13">
        <v>63</v>
      </c>
      <c r="B38" t="s">
        <v>384</v>
      </c>
      <c r="O38" s="13">
        <v>63</v>
      </c>
      <c r="P38" s="155">
        <f>'1040 W4 PLANNER 2019'!P108:R108</f>
        <v>0</v>
      </c>
      <c r="Q38" s="155"/>
      <c r="R38" s="155"/>
    </row>
    <row r="39" spans="1:19" x14ac:dyDescent="0.25">
      <c r="A39" s="19" t="s">
        <v>34</v>
      </c>
    </row>
    <row r="40" spans="1:19" x14ac:dyDescent="0.25">
      <c r="A40" s="13">
        <v>64</v>
      </c>
      <c r="B40" t="s">
        <v>290</v>
      </c>
      <c r="O40" s="13">
        <v>64</v>
      </c>
      <c r="P40" s="155">
        <f>ROUND(withholding!L12+withholding!L39,0)</f>
        <v>0</v>
      </c>
      <c r="Q40" s="155"/>
      <c r="R40" s="155"/>
    </row>
    <row r="41" spans="1:19" x14ac:dyDescent="0.25">
      <c r="A41" s="13" t="s">
        <v>334</v>
      </c>
      <c r="B41" t="s">
        <v>35</v>
      </c>
      <c r="I41" s="138">
        <v>2</v>
      </c>
      <c r="J41" t="s">
        <v>314</v>
      </c>
      <c r="O41" s="13" t="s">
        <v>334</v>
      </c>
      <c r="P41" s="155">
        <f>EIC!B17</f>
        <v>0</v>
      </c>
      <c r="Q41" s="155"/>
      <c r="R41" s="155"/>
    </row>
    <row r="42" spans="1:19" x14ac:dyDescent="0.25">
      <c r="A42" s="13">
        <v>67</v>
      </c>
      <c r="B42" t="s">
        <v>378</v>
      </c>
      <c r="L42" s="237" t="s">
        <v>379</v>
      </c>
      <c r="M42" s="238"/>
      <c r="N42" t="s">
        <v>380</v>
      </c>
      <c r="O42" s="13">
        <v>67</v>
      </c>
      <c r="P42" s="155">
        <f>'tax CCC CTC'!B49</f>
        <v>0</v>
      </c>
      <c r="Q42" s="155"/>
      <c r="R42" s="155"/>
    </row>
    <row r="43" spans="1:19" x14ac:dyDescent="0.25">
      <c r="A43" s="13">
        <v>74</v>
      </c>
      <c r="B43" t="s">
        <v>299</v>
      </c>
      <c r="O43" s="13">
        <v>74</v>
      </c>
      <c r="P43" s="155">
        <f>SUM(P40:R42)</f>
        <v>0</v>
      </c>
      <c r="Q43" s="155"/>
      <c r="R43" s="155"/>
    </row>
    <row r="44" spans="1:19" x14ac:dyDescent="0.25">
      <c r="A44" s="19" t="s">
        <v>300</v>
      </c>
      <c r="O44" s="20">
        <v>75</v>
      </c>
      <c r="P44" s="159">
        <f>IF(P43&gt;P38,P43-P38,0)</f>
        <v>0</v>
      </c>
      <c r="Q44" s="159"/>
      <c r="R44" s="159"/>
    </row>
    <row r="45" spans="1:19" x14ac:dyDescent="0.25">
      <c r="A45" s="19" t="s">
        <v>301</v>
      </c>
      <c r="O45" s="20">
        <v>78</v>
      </c>
      <c r="P45" s="198">
        <f>IF(P38&gt;P43,P38-P43,0)</f>
        <v>0</v>
      </c>
      <c r="Q45" s="198"/>
      <c r="R45" s="198"/>
    </row>
    <row r="46" spans="1:19" ht="18" customHeight="1" x14ac:dyDescent="0.35">
      <c r="A46" s="184" t="s">
        <v>187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</row>
    <row r="47" spans="1:19" x14ac:dyDescent="0.25">
      <c r="A47" s="85">
        <v>24</v>
      </c>
      <c r="B47" s="17" t="s">
        <v>310</v>
      </c>
      <c r="O47" s="17">
        <v>24</v>
      </c>
      <c r="P47" s="174">
        <f>state!D31</f>
        <v>0</v>
      </c>
      <c r="Q47" s="175"/>
    </row>
    <row r="48" spans="1:19" x14ac:dyDescent="0.25">
      <c r="A48" s="19" t="s">
        <v>312</v>
      </c>
      <c r="B48" s="17"/>
      <c r="O48" s="17">
        <v>42</v>
      </c>
      <c r="P48" s="176">
        <f>state!D33</f>
        <v>0</v>
      </c>
      <c r="Q48" s="177"/>
    </row>
    <row r="49" spans="1:17" x14ac:dyDescent="0.25">
      <c r="A49" s="19" t="s">
        <v>300</v>
      </c>
      <c r="B49" s="17"/>
      <c r="O49" s="17">
        <v>43</v>
      </c>
      <c r="P49" s="172">
        <f>state!D34</f>
        <v>0</v>
      </c>
      <c r="Q49" s="173"/>
    </row>
  </sheetData>
  <sheetProtection password="8371" sheet="1" objects="1" scenarios="1" selectLockedCells="1"/>
  <mergeCells count="70">
    <mergeCell ref="A3:M3"/>
    <mergeCell ref="P3:R3"/>
    <mergeCell ref="A1:R1"/>
    <mergeCell ref="B2:F2"/>
    <mergeCell ref="G2:I2"/>
    <mergeCell ref="K2:O2"/>
    <mergeCell ref="P2:R2"/>
    <mergeCell ref="E17:F17"/>
    <mergeCell ref="G17:H17"/>
    <mergeCell ref="I17:J17"/>
    <mergeCell ref="P17:R17"/>
    <mergeCell ref="O6:R7"/>
    <mergeCell ref="N12:O12"/>
    <mergeCell ref="P12:R12"/>
    <mergeCell ref="B13:F13"/>
    <mergeCell ref="L13:M13"/>
    <mergeCell ref="N13:O13"/>
    <mergeCell ref="P13:R13"/>
    <mergeCell ref="B11:F11"/>
    <mergeCell ref="L11:M11"/>
    <mergeCell ref="N11:O11"/>
    <mergeCell ref="P11:R11"/>
    <mergeCell ref="B12:F12"/>
    <mergeCell ref="J4:M4"/>
    <mergeCell ref="O4:Q4"/>
    <mergeCell ref="D5:G5"/>
    <mergeCell ref="J5:M5"/>
    <mergeCell ref="O5:Q5"/>
    <mergeCell ref="D4:G4"/>
    <mergeCell ref="P14:R14"/>
    <mergeCell ref="P15:R15"/>
    <mergeCell ref="I16:J16"/>
    <mergeCell ref="P16:R16"/>
    <mergeCell ref="A7:M7"/>
    <mergeCell ref="B9:F9"/>
    <mergeCell ref="L9:M9"/>
    <mergeCell ref="N9:O9"/>
    <mergeCell ref="P9:R9"/>
    <mergeCell ref="B10:F10"/>
    <mergeCell ref="L10:M10"/>
    <mergeCell ref="N10:O10"/>
    <mergeCell ref="P10:R10"/>
    <mergeCell ref="L12:M12"/>
    <mergeCell ref="P21:R21"/>
    <mergeCell ref="G20:I20"/>
    <mergeCell ref="P20:R20"/>
    <mergeCell ref="P33:R33"/>
    <mergeCell ref="P18:R18"/>
    <mergeCell ref="P19:R19"/>
    <mergeCell ref="P48:Q48"/>
    <mergeCell ref="P49:Q49"/>
    <mergeCell ref="P38:R38"/>
    <mergeCell ref="P36:R36"/>
    <mergeCell ref="P37:R37"/>
    <mergeCell ref="A4:C4"/>
    <mergeCell ref="P47:Q47"/>
    <mergeCell ref="P44:R44"/>
    <mergeCell ref="P45:R45"/>
    <mergeCell ref="A46:R46"/>
    <mergeCell ref="P43:R43"/>
    <mergeCell ref="P40:R40"/>
    <mergeCell ref="P41:R41"/>
    <mergeCell ref="L42:M42"/>
    <mergeCell ref="P42:R42"/>
    <mergeCell ref="P34:R34"/>
    <mergeCell ref="P29:R29"/>
    <mergeCell ref="P31:R31"/>
    <mergeCell ref="P32:R32"/>
    <mergeCell ref="P23:R23"/>
    <mergeCell ref="P24:R24"/>
  </mergeCells>
  <dataValidations disablePrompts="1" count="3">
    <dataValidation type="whole" allowBlank="1" showInputMessage="1" showErrorMessage="1" sqref="I41" xr:uid="{00000000-0002-0000-0100-000000000000}">
      <formula1>0</formula1>
      <formula2>3</formula2>
    </dataValidation>
    <dataValidation type="list" allowBlank="1" showInputMessage="1" showErrorMessage="1" sqref="N7" xr:uid="{00000000-0002-0000-0100-000001000000}">
      <formula1>Blind</formula1>
    </dataValidation>
    <dataValidation type="list" allowBlank="1" showInputMessage="1" showErrorMessage="1" sqref="N6" xr:uid="{00000000-0002-0000-0100-000002000000}">
      <formula1>status</formula1>
    </dataValidation>
  </dataValidations>
  <pageMargins left="0.25" right="0.25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T52"/>
  <sheetViews>
    <sheetView workbookViewId="0">
      <selection activeCell="O51" sqref="O51"/>
    </sheetView>
  </sheetViews>
  <sheetFormatPr defaultRowHeight="15" x14ac:dyDescent="0.25"/>
  <cols>
    <col min="1" max="1" width="4.5703125" customWidth="1"/>
    <col min="2" max="2" width="5.42578125" customWidth="1"/>
    <col min="3" max="4" width="5.7109375" customWidth="1"/>
    <col min="5" max="5" width="7.42578125" customWidth="1"/>
    <col min="6" max="6" width="8.7109375" customWidth="1"/>
    <col min="7" max="7" width="6.7109375" customWidth="1"/>
    <col min="8" max="8" width="15.140625" bestFit="1" customWidth="1"/>
    <col min="9" max="9" width="11.7109375" bestFit="1" customWidth="1"/>
    <col min="10" max="10" width="14.140625" customWidth="1"/>
    <col min="11" max="11" width="17.28515625" customWidth="1"/>
    <col min="12" max="12" width="17.7109375" customWidth="1"/>
    <col min="13" max="13" width="2.7109375" customWidth="1"/>
    <col min="14" max="14" width="15.85546875" customWidth="1"/>
    <col min="15" max="15" width="15.140625" customWidth="1"/>
  </cols>
  <sheetData>
    <row r="1" spans="1:16" x14ac:dyDescent="0.25">
      <c r="A1" s="120" t="s">
        <v>389</v>
      </c>
      <c r="B1" s="51"/>
      <c r="C1" s="51"/>
    </row>
    <row r="2" spans="1:16" x14ac:dyDescent="0.25">
      <c r="A2" t="s">
        <v>57</v>
      </c>
    </row>
    <row r="3" spans="1:16" ht="45" customHeight="1" x14ac:dyDescent="0.25">
      <c r="B3" s="15" t="s">
        <v>7</v>
      </c>
      <c r="C3" s="15" t="s">
        <v>9</v>
      </c>
      <c r="D3" s="15" t="s">
        <v>10</v>
      </c>
      <c r="E3" s="16" t="s">
        <v>11</v>
      </c>
      <c r="F3" s="18" t="s">
        <v>43</v>
      </c>
      <c r="G3" s="18" t="s">
        <v>13</v>
      </c>
      <c r="H3" s="18" t="s">
        <v>12</v>
      </c>
      <c r="I3" s="18" t="s">
        <v>42</v>
      </c>
      <c r="J3" s="18" t="s">
        <v>16</v>
      </c>
      <c r="K3" s="18" t="s">
        <v>15</v>
      </c>
      <c r="L3" s="18" t="s">
        <v>50</v>
      </c>
      <c r="M3" s="12" t="s">
        <v>14</v>
      </c>
      <c r="N3" s="38" t="s">
        <v>54</v>
      </c>
      <c r="O3" s="38" t="s">
        <v>53</v>
      </c>
    </row>
    <row r="4" spans="1:16" x14ac:dyDescent="0.25">
      <c r="A4">
        <v>1</v>
      </c>
      <c r="B4" s="2">
        <f>'1040 W4 PLANNER 2019'!A12</f>
        <v>0</v>
      </c>
      <c r="C4" s="2">
        <f>'1040 W4 PLANNER 2019'!G12</f>
        <v>0</v>
      </c>
      <c r="D4" s="2">
        <f>'1040 W4 PLANNER 2019'!H12</f>
        <v>0</v>
      </c>
      <c r="E4" s="36">
        <f>'1040 W4 PLANNER 2019'!I12</f>
        <v>0</v>
      </c>
      <c r="F4" s="2">
        <f>'1040 W4 PLANNER 2019'!J12</f>
        <v>0</v>
      </c>
      <c r="G4" s="1">
        <f>'1040 W4 PLANNER 2019'!K12</f>
        <v>0</v>
      </c>
      <c r="H4" s="21">
        <f>'1040 W4 PLANNER 2019'!L12</f>
        <v>0</v>
      </c>
      <c r="I4" s="35">
        <f>H4*D4</f>
        <v>0</v>
      </c>
      <c r="J4" s="39" t="s">
        <v>55</v>
      </c>
      <c r="K4" s="22" t="str">
        <f t="shared" ref="K4:K11" si="0">IF(E4="M",K23,K14)</f>
        <v/>
      </c>
      <c r="L4" s="22">
        <f t="shared" ref="L4:L11" si="1">IF(E4="M",L23,L14)</f>
        <v>0</v>
      </c>
      <c r="M4" s="2">
        <f>'1040 W4 PLANNER 2019'!R12</f>
        <v>0</v>
      </c>
      <c r="N4" s="37">
        <f>IF(B4="T", I4,0)</f>
        <v>0</v>
      </c>
      <c r="O4">
        <f>IF(B4="S", I4,0)</f>
        <v>0</v>
      </c>
    </row>
    <row r="5" spans="1:16" x14ac:dyDescent="0.25">
      <c r="A5">
        <v>2</v>
      </c>
      <c r="B5" s="2">
        <f>'1040 W4 PLANNER 2019'!A13</f>
        <v>0</v>
      </c>
      <c r="C5" s="2">
        <f>'1040 W4 PLANNER 2019'!G13</f>
        <v>0</v>
      </c>
      <c r="D5" s="2">
        <f>'1040 W4 PLANNER 2019'!H13</f>
        <v>0</v>
      </c>
      <c r="E5" s="36">
        <f>'1040 W4 PLANNER 2019'!I13</f>
        <v>0</v>
      </c>
      <c r="F5" s="2">
        <f>'1040 W4 PLANNER 2019'!J13</f>
        <v>0</v>
      </c>
      <c r="G5" s="1">
        <f>'1040 W4 PLANNER 2019'!K13</f>
        <v>0</v>
      </c>
      <c r="H5" s="35">
        <f>'1040 W4 PLANNER 2019'!L13</f>
        <v>0</v>
      </c>
      <c r="I5" s="35">
        <f t="shared" ref="I5:I11" si="2">H5*D5</f>
        <v>0</v>
      </c>
      <c r="J5" s="39" t="s">
        <v>55</v>
      </c>
      <c r="K5" s="28" t="str">
        <f t="shared" si="0"/>
        <v/>
      </c>
      <c r="L5" s="28">
        <f t="shared" si="1"/>
        <v>0</v>
      </c>
      <c r="M5" s="2"/>
      <c r="N5" s="37">
        <f t="shared" ref="N5:N11" si="3">IF(B5="T", I5,0)</f>
        <v>0</v>
      </c>
      <c r="O5">
        <f t="shared" ref="O5:O11" si="4">IF(B5="S", I5,0)</f>
        <v>0</v>
      </c>
    </row>
    <row r="6" spans="1:16" x14ac:dyDescent="0.25">
      <c r="A6">
        <v>3</v>
      </c>
      <c r="B6" s="2">
        <f>'1040 W4 PLANNER 2019'!A14</f>
        <v>0</v>
      </c>
      <c r="C6" s="2">
        <f>'1040 W4 PLANNER 2019'!G14</f>
        <v>0</v>
      </c>
      <c r="D6" s="2">
        <f>'1040 W4 PLANNER 2019'!H14</f>
        <v>0</v>
      </c>
      <c r="E6" s="36">
        <f>'1040 W4 PLANNER 2019'!I14</f>
        <v>0</v>
      </c>
      <c r="F6" s="2">
        <f>'1040 W4 PLANNER 2019'!J14</f>
        <v>0</v>
      </c>
      <c r="G6" s="1">
        <f>'1040 W4 PLANNER 2019'!K14</f>
        <v>0</v>
      </c>
      <c r="H6" s="35">
        <f>'1040 W4 PLANNER 2019'!L14</f>
        <v>0</v>
      </c>
      <c r="I6" s="39">
        <f t="shared" si="2"/>
        <v>0</v>
      </c>
      <c r="J6" s="39" t="s">
        <v>55</v>
      </c>
      <c r="K6" s="28" t="str">
        <f t="shared" si="0"/>
        <v/>
      </c>
      <c r="L6" s="28">
        <f t="shared" si="1"/>
        <v>0</v>
      </c>
      <c r="M6" s="2"/>
      <c r="N6" s="37">
        <f t="shared" si="3"/>
        <v>0</v>
      </c>
      <c r="O6">
        <f t="shared" si="4"/>
        <v>0</v>
      </c>
    </row>
    <row r="7" spans="1:16" x14ac:dyDescent="0.25">
      <c r="A7">
        <v>4</v>
      </c>
      <c r="B7" s="2">
        <f>'1040 W4 PLANNER 2019'!A15</f>
        <v>0</v>
      </c>
      <c r="C7" s="2">
        <f>'1040 W4 PLANNER 2019'!G15</f>
        <v>0</v>
      </c>
      <c r="D7" s="2">
        <f>'1040 W4 PLANNER 2019'!H15</f>
        <v>0</v>
      </c>
      <c r="E7" s="36">
        <f>'1040 W4 PLANNER 2019'!I15</f>
        <v>0</v>
      </c>
      <c r="F7" s="2">
        <f>'1040 W4 PLANNER 2019'!J15</f>
        <v>0</v>
      </c>
      <c r="G7" s="1">
        <f>'1040 W4 PLANNER 2019'!K15</f>
        <v>0</v>
      </c>
      <c r="H7" s="35">
        <f>'1040 W4 PLANNER 2019'!L15</f>
        <v>0</v>
      </c>
      <c r="I7" s="35">
        <f t="shared" si="2"/>
        <v>0</v>
      </c>
      <c r="J7" s="39" t="s">
        <v>55</v>
      </c>
      <c r="K7" s="28" t="str">
        <f t="shared" si="0"/>
        <v/>
      </c>
      <c r="L7" s="28">
        <f t="shared" si="1"/>
        <v>0</v>
      </c>
      <c r="M7" s="2"/>
      <c r="N7" s="37">
        <f t="shared" si="3"/>
        <v>0</v>
      </c>
      <c r="O7">
        <f t="shared" si="4"/>
        <v>0</v>
      </c>
    </row>
    <row r="8" spans="1:16" x14ac:dyDescent="0.25">
      <c r="A8">
        <v>5</v>
      </c>
      <c r="B8" s="2">
        <f>'1040 W4 PLANNER 2019'!A16</f>
        <v>0</v>
      </c>
      <c r="C8" s="2">
        <f>'1040 W4 PLANNER 2019'!G16</f>
        <v>0</v>
      </c>
      <c r="D8" s="2">
        <f>'1040 W4 PLANNER 2019'!H16</f>
        <v>0</v>
      </c>
      <c r="E8" s="36">
        <f>'1040 W4 PLANNER 2019'!I16</f>
        <v>0</v>
      </c>
      <c r="F8" s="2">
        <f>'1040 W4 PLANNER 2019'!J16</f>
        <v>0</v>
      </c>
      <c r="G8" s="1">
        <f>'1040 W4 PLANNER 2019'!K16</f>
        <v>0</v>
      </c>
      <c r="H8" s="35">
        <f>'1040 W4 PLANNER 2019'!L16</f>
        <v>0</v>
      </c>
      <c r="I8" s="35">
        <f t="shared" si="2"/>
        <v>0</v>
      </c>
      <c r="J8" s="39" t="s">
        <v>55</v>
      </c>
      <c r="K8" s="28" t="str">
        <f t="shared" si="0"/>
        <v/>
      </c>
      <c r="L8" s="28">
        <f t="shared" si="1"/>
        <v>0</v>
      </c>
      <c r="M8" s="2"/>
      <c r="N8" s="37">
        <f t="shared" si="3"/>
        <v>0</v>
      </c>
      <c r="O8">
        <f t="shared" si="4"/>
        <v>0</v>
      </c>
    </row>
    <row r="9" spans="1:16" x14ac:dyDescent="0.25">
      <c r="A9">
        <v>6</v>
      </c>
      <c r="B9" s="2">
        <f>'1040 W4 PLANNER 2019'!A17</f>
        <v>0</v>
      </c>
      <c r="C9" s="2">
        <f>'1040 W4 PLANNER 2019'!G17</f>
        <v>0</v>
      </c>
      <c r="D9" s="2">
        <f>'1040 W4 PLANNER 2019'!H17</f>
        <v>0</v>
      </c>
      <c r="E9" s="36">
        <f>'1040 W4 PLANNER 2019'!I17</f>
        <v>0</v>
      </c>
      <c r="F9" s="2">
        <f>'1040 W4 PLANNER 2019'!J17</f>
        <v>0</v>
      </c>
      <c r="G9" s="1">
        <f>'1040 W4 PLANNER 2019'!K17</f>
        <v>0</v>
      </c>
      <c r="H9" s="35">
        <f>'1040 W4 PLANNER 2019'!L17</f>
        <v>0</v>
      </c>
      <c r="I9" s="35">
        <f t="shared" si="2"/>
        <v>0</v>
      </c>
      <c r="J9" s="39" t="s">
        <v>55</v>
      </c>
      <c r="K9" s="28" t="str">
        <f t="shared" si="0"/>
        <v/>
      </c>
      <c r="L9" s="28">
        <f t="shared" si="1"/>
        <v>0</v>
      </c>
      <c r="M9" s="2"/>
      <c r="N9" s="37">
        <f t="shared" si="3"/>
        <v>0</v>
      </c>
      <c r="O9">
        <f t="shared" si="4"/>
        <v>0</v>
      </c>
    </row>
    <row r="10" spans="1:16" x14ac:dyDescent="0.25">
      <c r="A10">
        <v>7</v>
      </c>
      <c r="B10" s="2">
        <f>'1040 W4 PLANNER 2019'!A18</f>
        <v>0</v>
      </c>
      <c r="C10" s="2">
        <f>'1040 W4 PLANNER 2019'!G18</f>
        <v>0</v>
      </c>
      <c r="D10" s="2">
        <f>'1040 W4 PLANNER 2019'!H18</f>
        <v>0</v>
      </c>
      <c r="E10" s="36">
        <f>'1040 W4 PLANNER 2019'!I18</f>
        <v>0</v>
      </c>
      <c r="F10" s="2">
        <f>'1040 W4 PLANNER 2019'!J18</f>
        <v>0</v>
      </c>
      <c r="G10" s="1">
        <f>'1040 W4 PLANNER 2019'!K18</f>
        <v>0</v>
      </c>
      <c r="H10" s="35">
        <f>'1040 W4 PLANNER 2019'!L18</f>
        <v>0</v>
      </c>
      <c r="I10" s="35">
        <f t="shared" si="2"/>
        <v>0</v>
      </c>
      <c r="J10" s="39" t="s">
        <v>55</v>
      </c>
      <c r="K10" s="28" t="str">
        <f t="shared" si="0"/>
        <v/>
      </c>
      <c r="L10" s="28">
        <f t="shared" si="1"/>
        <v>0</v>
      </c>
      <c r="M10" s="2"/>
      <c r="N10" s="37">
        <f t="shared" si="3"/>
        <v>0</v>
      </c>
      <c r="O10">
        <f t="shared" si="4"/>
        <v>0</v>
      </c>
    </row>
    <row r="11" spans="1:16" x14ac:dyDescent="0.25">
      <c r="A11">
        <v>8</v>
      </c>
      <c r="B11" s="2">
        <f>'1040 W4 PLANNER 2019'!A19</f>
        <v>0</v>
      </c>
      <c r="C11" s="2">
        <f>'1040 W4 PLANNER 2019'!G19</f>
        <v>0</v>
      </c>
      <c r="D11" s="2">
        <f>'1040 W4 PLANNER 2019'!H19</f>
        <v>0</v>
      </c>
      <c r="E11" s="36">
        <f>'1040 W4 PLANNER 2019'!I19</f>
        <v>0</v>
      </c>
      <c r="F11" s="2">
        <f>'1040 W4 PLANNER 2019'!J19</f>
        <v>0</v>
      </c>
      <c r="G11" s="1">
        <f>'1040 W4 PLANNER 2019'!K19</f>
        <v>0</v>
      </c>
      <c r="H11" s="35">
        <f>'1040 W4 PLANNER 2019'!L19</f>
        <v>0</v>
      </c>
      <c r="I11" s="35">
        <f t="shared" si="2"/>
        <v>0</v>
      </c>
      <c r="J11" s="39" t="s">
        <v>55</v>
      </c>
      <c r="K11" s="28" t="str">
        <f t="shared" si="0"/>
        <v/>
      </c>
      <c r="L11" s="28">
        <f t="shared" si="1"/>
        <v>0</v>
      </c>
      <c r="M11" s="2"/>
      <c r="N11" s="37">
        <f t="shared" si="3"/>
        <v>0</v>
      </c>
      <c r="O11">
        <f t="shared" si="4"/>
        <v>0</v>
      </c>
    </row>
    <row r="12" spans="1:16" x14ac:dyDescent="0.25">
      <c r="L12" s="32">
        <f>SUM(L4:L11)</f>
        <v>0</v>
      </c>
      <c r="N12" s="32">
        <f>SUM(N4:N11)</f>
        <v>0</v>
      </c>
      <c r="O12">
        <f>SUM(O4:O11)</f>
        <v>0</v>
      </c>
    </row>
    <row r="13" spans="1:16" ht="45" x14ac:dyDescent="0.25">
      <c r="A13" s="51" t="s">
        <v>103</v>
      </c>
      <c r="C13" t="s">
        <v>58</v>
      </c>
      <c r="D13" s="41" t="s">
        <v>59</v>
      </c>
      <c r="E13" s="41" t="s">
        <v>45</v>
      </c>
      <c r="F13" t="s">
        <v>46</v>
      </c>
      <c r="H13" t="s">
        <v>47</v>
      </c>
      <c r="I13" t="s">
        <v>48</v>
      </c>
      <c r="J13" t="s">
        <v>49</v>
      </c>
      <c r="O13" s="41" t="s">
        <v>319</v>
      </c>
      <c r="P13" s="41" t="s">
        <v>320</v>
      </c>
    </row>
    <row r="14" spans="1:16" x14ac:dyDescent="0.25">
      <c r="A14">
        <v>1</v>
      </c>
      <c r="B14" s="31"/>
      <c r="C14">
        <f>C4</f>
        <v>0</v>
      </c>
      <c r="D14">
        <f>D4</f>
        <v>0</v>
      </c>
      <c r="E14" s="6">
        <f>IF(C4=260,16.2,IF(C4=52,80.8,IF(C4=26,161.5,IF(C4=24,175,IF(C4=12,350,IF(C4=4,1050,IF(C4=2,2100,IF(C4=1,4200,0))))))))</f>
        <v>0</v>
      </c>
      <c r="F14" s="6">
        <f t="shared" ref="F14:F21" si="5">E14*F4</f>
        <v>0</v>
      </c>
      <c r="G14">
        <f>'1040 W4 PLANNER 2019'!K12</f>
        <v>0</v>
      </c>
      <c r="H14" s="32">
        <f t="shared" ref="H14:H21" si="6">H4-F14</f>
        <v>0</v>
      </c>
      <c r="I14" s="33">
        <f>H14*C14</f>
        <v>0</v>
      </c>
      <c r="J14">
        <f>IF(O14&gt;P14,O14,P14)</f>
        <v>0</v>
      </c>
      <c r="K14" s="33" t="str">
        <f>IF(C14&lt;&gt;0,(O14/C14)+G14,"")</f>
        <v/>
      </c>
      <c r="L14" s="33">
        <f>IF(C14&lt;&gt;0,((K14)*D14),0)</f>
        <v>0</v>
      </c>
      <c r="N14" t="s">
        <v>51</v>
      </c>
      <c r="O14" s="124">
        <f>IF(I14&lt;3800,0,IF(I14&lt;13500,(I14-3800)*0.1,IF(I14&lt;43275,(I14-13500)*0.12+970,IF(I14&lt;88000,(I14-43275)*0.22+4543,IF(I14&lt;164525,(I14-88000)*0.24+14382.5,IF(I14&lt;207900,(I14-164525)*0.32+32748.5,IF(I14&lt;514100,(I14-207900)*0.35+46628.5,(I14-514100)*0.37+153789.5)))))))</f>
        <v>0</v>
      </c>
      <c r="P14">
        <f>IF(I14&gt;420700,I14*0.396+121505.25,0)</f>
        <v>0</v>
      </c>
    </row>
    <row r="15" spans="1:16" x14ac:dyDescent="0.25">
      <c r="A15">
        <v>2</v>
      </c>
      <c r="B15" s="31"/>
      <c r="C15">
        <f t="shared" ref="C15:C21" si="7">C5</f>
        <v>0</v>
      </c>
      <c r="D15">
        <f t="shared" ref="D15:D21" si="8">D5</f>
        <v>0</v>
      </c>
      <c r="E15" s="6">
        <f t="shared" ref="E15:E21" si="9">IF(C5=260,16.2,IF(C5=52,80.8,IF(C5=26,161.5,IF(C5=24,175,IF(C5=12,350,IF(C5=4,1050,IF(C5=2,2100,IF(C5=1,4200,0))))))))</f>
        <v>0</v>
      </c>
      <c r="F15" s="6">
        <f t="shared" si="5"/>
        <v>0</v>
      </c>
      <c r="G15">
        <f>'1040 W4 PLANNER 2019'!K13</f>
        <v>0</v>
      </c>
      <c r="H15" s="32">
        <f t="shared" si="6"/>
        <v>0</v>
      </c>
      <c r="I15" s="33">
        <f t="shared" ref="I15:I21" si="10">H15*C15</f>
        <v>0</v>
      </c>
      <c r="J15" s="33">
        <f t="shared" ref="J15:J30" si="11">IF(O15&gt;P15,O15,P15)</f>
        <v>0</v>
      </c>
      <c r="K15" s="33" t="str">
        <f t="shared" ref="K15:K21" si="12">IF(C15&lt;&gt;0,(J15/C15)+G15,"")</f>
        <v/>
      </c>
      <c r="L15" s="33">
        <f t="shared" ref="L15:L21" si="13">IF(C15&lt;&gt;0,((K15)*D15),0)</f>
        <v>0</v>
      </c>
      <c r="N15" t="s">
        <v>51</v>
      </c>
      <c r="O15" s="124">
        <f t="shared" ref="O15:O21" si="14">IF(I15&lt;3800,0,IF(I15&lt;13500,(I15-3800)*0.1,IF(I15&lt;43275,(I15-13500)*0.12+970,IF(I15&lt;88000,(I15-43275)*0.22+4543,IF(I15&lt;164525,(I15-88000)*0.24+14382.5,IF(I15&lt;207900,(I15-164525)*0.32+32748.5,IF(I15&lt;514100,(I15-207900)*0.35+46628.5,(I15-514100)*0.37+153789.5)))))))</f>
        <v>0</v>
      </c>
      <c r="P15">
        <f t="shared" ref="P15:P21" si="15">IF(I15&gt;420700,I15*0.396+121505.25,0)</f>
        <v>0</v>
      </c>
    </row>
    <row r="16" spans="1:16" x14ac:dyDescent="0.25">
      <c r="A16">
        <v>3</v>
      </c>
      <c r="B16" s="31"/>
      <c r="C16">
        <f t="shared" si="7"/>
        <v>0</v>
      </c>
      <c r="D16">
        <f t="shared" si="8"/>
        <v>0</v>
      </c>
      <c r="E16" s="6">
        <f t="shared" si="9"/>
        <v>0</v>
      </c>
      <c r="F16" s="6">
        <f t="shared" si="5"/>
        <v>0</v>
      </c>
      <c r="G16">
        <f>'1040 W4 PLANNER 2019'!K14</f>
        <v>0</v>
      </c>
      <c r="H16" s="32">
        <f t="shared" si="6"/>
        <v>0</v>
      </c>
      <c r="I16" s="33">
        <f t="shared" si="10"/>
        <v>0</v>
      </c>
      <c r="J16" s="33">
        <f t="shared" si="11"/>
        <v>0</v>
      </c>
      <c r="K16" s="33" t="str">
        <f t="shared" si="12"/>
        <v/>
      </c>
      <c r="L16" s="33">
        <f t="shared" si="13"/>
        <v>0</v>
      </c>
      <c r="N16" t="s">
        <v>51</v>
      </c>
      <c r="O16" s="124">
        <f t="shared" si="14"/>
        <v>0</v>
      </c>
      <c r="P16">
        <f t="shared" si="15"/>
        <v>0</v>
      </c>
    </row>
    <row r="17" spans="1:20" x14ac:dyDescent="0.25">
      <c r="A17">
        <v>4</v>
      </c>
      <c r="B17" s="31"/>
      <c r="C17">
        <f t="shared" si="7"/>
        <v>0</v>
      </c>
      <c r="D17">
        <f t="shared" si="8"/>
        <v>0</v>
      </c>
      <c r="E17" s="6">
        <f t="shared" si="9"/>
        <v>0</v>
      </c>
      <c r="F17" s="6">
        <f t="shared" si="5"/>
        <v>0</v>
      </c>
      <c r="G17">
        <f>'1040 W4 PLANNER 2019'!K15</f>
        <v>0</v>
      </c>
      <c r="H17" s="32">
        <f t="shared" si="6"/>
        <v>0</v>
      </c>
      <c r="I17" s="33">
        <f t="shared" si="10"/>
        <v>0</v>
      </c>
      <c r="J17" s="33">
        <f t="shared" si="11"/>
        <v>0</v>
      </c>
      <c r="K17" s="33" t="str">
        <f t="shared" si="12"/>
        <v/>
      </c>
      <c r="L17" s="33">
        <f t="shared" si="13"/>
        <v>0</v>
      </c>
      <c r="N17" t="s">
        <v>51</v>
      </c>
      <c r="O17" s="124">
        <f t="shared" si="14"/>
        <v>0</v>
      </c>
      <c r="P17">
        <f t="shared" si="15"/>
        <v>0</v>
      </c>
    </row>
    <row r="18" spans="1:20" x14ac:dyDescent="0.25">
      <c r="A18">
        <v>5</v>
      </c>
      <c r="B18" s="31"/>
      <c r="C18">
        <f t="shared" si="7"/>
        <v>0</v>
      </c>
      <c r="D18">
        <f t="shared" si="8"/>
        <v>0</v>
      </c>
      <c r="E18" s="6">
        <f t="shared" si="9"/>
        <v>0</v>
      </c>
      <c r="F18" s="6">
        <f t="shared" si="5"/>
        <v>0</v>
      </c>
      <c r="G18">
        <f>'1040 W4 PLANNER 2019'!K16</f>
        <v>0</v>
      </c>
      <c r="H18" s="32">
        <f t="shared" si="6"/>
        <v>0</v>
      </c>
      <c r="I18" s="33">
        <f t="shared" si="10"/>
        <v>0</v>
      </c>
      <c r="J18" s="33">
        <f t="shared" si="11"/>
        <v>0</v>
      </c>
      <c r="K18" s="33" t="str">
        <f t="shared" si="12"/>
        <v/>
      </c>
      <c r="L18" s="33">
        <f t="shared" si="13"/>
        <v>0</v>
      </c>
      <c r="N18" t="s">
        <v>51</v>
      </c>
      <c r="O18" s="124">
        <f t="shared" si="14"/>
        <v>0</v>
      </c>
      <c r="P18">
        <f t="shared" si="15"/>
        <v>0</v>
      </c>
    </row>
    <row r="19" spans="1:20" x14ac:dyDescent="0.25">
      <c r="A19">
        <v>6</v>
      </c>
      <c r="B19" s="31"/>
      <c r="C19">
        <f t="shared" si="7"/>
        <v>0</v>
      </c>
      <c r="D19">
        <f t="shared" si="8"/>
        <v>0</v>
      </c>
      <c r="E19" s="6">
        <f t="shared" si="9"/>
        <v>0</v>
      </c>
      <c r="F19" s="6">
        <f t="shared" si="5"/>
        <v>0</v>
      </c>
      <c r="G19">
        <f>'1040 W4 PLANNER 2019'!K17</f>
        <v>0</v>
      </c>
      <c r="H19" s="32">
        <f t="shared" si="6"/>
        <v>0</v>
      </c>
      <c r="I19" s="33">
        <f t="shared" si="10"/>
        <v>0</v>
      </c>
      <c r="J19" s="33">
        <f t="shared" si="11"/>
        <v>0</v>
      </c>
      <c r="K19" s="33" t="str">
        <f t="shared" si="12"/>
        <v/>
      </c>
      <c r="L19" s="33">
        <f t="shared" si="13"/>
        <v>0</v>
      </c>
      <c r="N19" t="s">
        <v>51</v>
      </c>
      <c r="O19" s="124">
        <f t="shared" si="14"/>
        <v>0</v>
      </c>
      <c r="P19">
        <f t="shared" si="15"/>
        <v>0</v>
      </c>
    </row>
    <row r="20" spans="1:20" x14ac:dyDescent="0.25">
      <c r="A20">
        <v>7</v>
      </c>
      <c r="B20" s="31"/>
      <c r="C20">
        <f t="shared" si="7"/>
        <v>0</v>
      </c>
      <c r="D20">
        <f t="shared" si="8"/>
        <v>0</v>
      </c>
      <c r="E20" s="6">
        <f t="shared" si="9"/>
        <v>0</v>
      </c>
      <c r="F20" s="6">
        <f t="shared" si="5"/>
        <v>0</v>
      </c>
      <c r="G20">
        <f>'1040 W4 PLANNER 2019'!K18</f>
        <v>0</v>
      </c>
      <c r="H20" s="32">
        <f t="shared" si="6"/>
        <v>0</v>
      </c>
      <c r="I20" s="33">
        <f t="shared" si="10"/>
        <v>0</v>
      </c>
      <c r="J20" s="33">
        <f t="shared" si="11"/>
        <v>0</v>
      </c>
      <c r="K20" s="33" t="str">
        <f t="shared" si="12"/>
        <v/>
      </c>
      <c r="L20" s="33">
        <f t="shared" si="13"/>
        <v>0</v>
      </c>
      <c r="N20" t="s">
        <v>51</v>
      </c>
      <c r="O20" s="124">
        <f t="shared" si="14"/>
        <v>0</v>
      </c>
      <c r="P20">
        <f t="shared" si="15"/>
        <v>0</v>
      </c>
    </row>
    <row r="21" spans="1:20" x14ac:dyDescent="0.25">
      <c r="A21">
        <v>8</v>
      </c>
      <c r="B21" s="31"/>
      <c r="C21">
        <f t="shared" si="7"/>
        <v>0</v>
      </c>
      <c r="D21">
        <f t="shared" si="8"/>
        <v>0</v>
      </c>
      <c r="E21" s="6">
        <f t="shared" si="9"/>
        <v>0</v>
      </c>
      <c r="F21" s="6">
        <f t="shared" si="5"/>
        <v>0</v>
      </c>
      <c r="G21">
        <f>'1040 W4 PLANNER 2019'!K19</f>
        <v>0</v>
      </c>
      <c r="H21" s="32">
        <f t="shared" si="6"/>
        <v>0</v>
      </c>
      <c r="I21" s="33">
        <f t="shared" si="10"/>
        <v>0</v>
      </c>
      <c r="J21" s="33">
        <f t="shared" si="11"/>
        <v>0</v>
      </c>
      <c r="K21" s="33" t="str">
        <f t="shared" si="12"/>
        <v/>
      </c>
      <c r="L21" s="33">
        <f t="shared" si="13"/>
        <v>0</v>
      </c>
      <c r="N21" t="s">
        <v>51</v>
      </c>
      <c r="O21" s="124">
        <f t="shared" si="14"/>
        <v>0</v>
      </c>
      <c r="P21">
        <f t="shared" si="15"/>
        <v>0</v>
      </c>
    </row>
    <row r="22" spans="1:20" x14ac:dyDescent="0.25">
      <c r="A22" s="51" t="s">
        <v>107</v>
      </c>
      <c r="B22" s="31"/>
    </row>
    <row r="23" spans="1:20" x14ac:dyDescent="0.25">
      <c r="A23">
        <v>1</v>
      </c>
      <c r="B23" s="31"/>
      <c r="C23">
        <f>C4</f>
        <v>0</v>
      </c>
      <c r="D23">
        <f>D4</f>
        <v>0</v>
      </c>
      <c r="E23" s="6">
        <f>IF(C4=260,16.2,IF(C4=52,80.8,IF(C4=26,161.5,IF(C4=24,175,IF(C4=12,350,IF(C4=4,1050,IF(C4=2,2100,IF(C4=1,4200,0))))))))</f>
        <v>0</v>
      </c>
      <c r="F23" s="6">
        <f>E14*F4</f>
        <v>0</v>
      </c>
      <c r="G23">
        <f>'1040 W4 PLANNER 2019'!K12</f>
        <v>0</v>
      </c>
      <c r="H23" s="32">
        <f t="shared" ref="H23:H30" si="16">H4-F14</f>
        <v>0</v>
      </c>
      <c r="I23" s="33">
        <f>H23*C23</f>
        <v>0</v>
      </c>
      <c r="J23" s="33">
        <f t="shared" si="11"/>
        <v>0</v>
      </c>
      <c r="K23" s="33" t="str">
        <f>IF(C23&lt;&gt;0,(O23/C23)+G23,"")</f>
        <v/>
      </c>
      <c r="L23" s="33">
        <f>IF(C23&lt;&gt;0,((K23)*D23),0)</f>
        <v>0</v>
      </c>
      <c r="N23" t="s">
        <v>52</v>
      </c>
      <c r="O23" s="124">
        <f>IF(I14&lt;11800,0,IF(I14&lt;31200,(I14-11800)*0.1,IF(I14&lt;90750,(I14-31200)*0.12+1940,IF(I14&lt;180200,(I14-90750)*0.22+9086,IF(I14&lt;333250,(I14-180200)*0.24+28765,IF(I14&lt;420000,(I14-333250)*0.32+65497,IF(I14&lt;624150,(I14-420000)*0.35+93257,(I14-624150)*0.37+164709.5)))))))</f>
        <v>0</v>
      </c>
      <c r="P23">
        <f>IF(I23&gt;479350,I23*0.396+131628,0)</f>
        <v>0</v>
      </c>
      <c r="R23" t="s">
        <v>26</v>
      </c>
      <c r="S23" t="s">
        <v>26</v>
      </c>
      <c r="T23" t="s">
        <v>26</v>
      </c>
    </row>
    <row r="24" spans="1:20" x14ac:dyDescent="0.25">
      <c r="A24">
        <v>2</v>
      </c>
      <c r="B24" s="31"/>
      <c r="C24">
        <f t="shared" ref="C24:C30" si="17">C5</f>
        <v>0</v>
      </c>
      <c r="D24">
        <f t="shared" ref="D24:D30" si="18">D5</f>
        <v>0</v>
      </c>
      <c r="E24" s="6">
        <f t="shared" ref="E24:E30" si="19">IF(C5=260,16.2,IF(C5=52,80.8,IF(C5=26,161.5,IF(C5=24,175,IF(C5=12,350,IF(C5=4,1050,IF(C5=2,2100,IF(C5=1,4200,0))))))))</f>
        <v>0</v>
      </c>
      <c r="F24" s="6">
        <f t="shared" ref="F24:F30" si="20">E15*F5</f>
        <v>0</v>
      </c>
      <c r="G24">
        <f>'1040 W4 PLANNER 2019'!K13</f>
        <v>0</v>
      </c>
      <c r="H24" s="32">
        <f t="shared" si="16"/>
        <v>0</v>
      </c>
      <c r="I24" s="33">
        <f t="shared" ref="I24:I30" si="21">H24*C24</f>
        <v>0</v>
      </c>
      <c r="J24" s="33">
        <f t="shared" si="11"/>
        <v>0</v>
      </c>
      <c r="K24" s="33" t="str">
        <f t="shared" ref="K24:K30" si="22">IF(C24&lt;&gt;0,(J24/C24)+G24,"")</f>
        <v/>
      </c>
      <c r="L24" s="33">
        <f t="shared" ref="L24:L30" si="23">IF(C24&lt;&gt;0,((K24)*D24),0)</f>
        <v>0</v>
      </c>
      <c r="N24" t="s">
        <v>52</v>
      </c>
      <c r="O24" s="124">
        <f t="shared" ref="O24:O30" si="24">IF(I15&lt;11800,0,IF(I15&lt;31200,(I15-11800)*0.1,IF(I15&lt;90750,(I15-31200)*0.12+1940,IF(I15&lt;180200,(I15-90750)*0.22+9086,IF(I15&lt;333250,(I15-180200)*0.24+28765,IF(I15&lt;420000,(I15-333250)*0.32+65497,IF(I15&lt;624150,(I15-420000)*0.35+93257,(I15-624150)*0.37+164709.5)))))))</f>
        <v>0</v>
      </c>
      <c r="P24">
        <f t="shared" ref="P24:P30" si="25">IF(I24&gt;479350,I24*0.396+131628,0)</f>
        <v>0</v>
      </c>
      <c r="T24" t="s">
        <v>26</v>
      </c>
    </row>
    <row r="25" spans="1:20" x14ac:dyDescent="0.25">
      <c r="A25">
        <v>3</v>
      </c>
      <c r="B25" s="31"/>
      <c r="C25">
        <f t="shared" si="17"/>
        <v>0</v>
      </c>
      <c r="D25">
        <f t="shared" si="18"/>
        <v>0</v>
      </c>
      <c r="E25" s="6">
        <f t="shared" si="19"/>
        <v>0</v>
      </c>
      <c r="F25" s="6">
        <f t="shared" si="20"/>
        <v>0</v>
      </c>
      <c r="G25">
        <f>'1040 W4 PLANNER 2019'!K14</f>
        <v>0</v>
      </c>
      <c r="H25" s="32">
        <f t="shared" si="16"/>
        <v>0</v>
      </c>
      <c r="I25" s="33">
        <f t="shared" si="21"/>
        <v>0</v>
      </c>
      <c r="J25" s="33">
        <f t="shared" si="11"/>
        <v>0</v>
      </c>
      <c r="K25" s="33" t="str">
        <f t="shared" si="22"/>
        <v/>
      </c>
      <c r="L25" s="33">
        <f t="shared" si="23"/>
        <v>0</v>
      </c>
      <c r="N25" t="s">
        <v>52</v>
      </c>
      <c r="O25" s="124">
        <f t="shared" si="24"/>
        <v>0</v>
      </c>
      <c r="P25">
        <f t="shared" si="25"/>
        <v>0</v>
      </c>
    </row>
    <row r="26" spans="1:20" x14ac:dyDescent="0.25">
      <c r="A26">
        <v>4</v>
      </c>
      <c r="B26" s="31"/>
      <c r="C26">
        <f t="shared" si="17"/>
        <v>0</v>
      </c>
      <c r="D26">
        <f t="shared" si="18"/>
        <v>0</v>
      </c>
      <c r="E26" s="6">
        <f t="shared" si="19"/>
        <v>0</v>
      </c>
      <c r="F26" s="6">
        <f t="shared" si="20"/>
        <v>0</v>
      </c>
      <c r="G26">
        <f>'1040 W4 PLANNER 2019'!K15</f>
        <v>0</v>
      </c>
      <c r="H26" s="32">
        <f t="shared" si="16"/>
        <v>0</v>
      </c>
      <c r="I26" s="33">
        <f t="shared" si="21"/>
        <v>0</v>
      </c>
      <c r="J26" s="33">
        <f t="shared" si="11"/>
        <v>0</v>
      </c>
      <c r="K26" s="33" t="str">
        <f t="shared" si="22"/>
        <v/>
      </c>
      <c r="L26" s="33">
        <f t="shared" si="23"/>
        <v>0</v>
      </c>
      <c r="N26" t="s">
        <v>52</v>
      </c>
      <c r="O26" s="124">
        <f t="shared" si="24"/>
        <v>0</v>
      </c>
      <c r="P26">
        <f t="shared" si="25"/>
        <v>0</v>
      </c>
    </row>
    <row r="27" spans="1:20" x14ac:dyDescent="0.25">
      <c r="A27">
        <v>5</v>
      </c>
      <c r="B27" s="31"/>
      <c r="C27">
        <f t="shared" si="17"/>
        <v>0</v>
      </c>
      <c r="D27">
        <f t="shared" si="18"/>
        <v>0</v>
      </c>
      <c r="E27" s="6">
        <f t="shared" si="19"/>
        <v>0</v>
      </c>
      <c r="F27" s="6">
        <f t="shared" si="20"/>
        <v>0</v>
      </c>
      <c r="G27">
        <f>'1040 W4 PLANNER 2019'!K16</f>
        <v>0</v>
      </c>
      <c r="H27" s="32">
        <f t="shared" si="16"/>
        <v>0</v>
      </c>
      <c r="I27" s="33">
        <f t="shared" si="21"/>
        <v>0</v>
      </c>
      <c r="J27" s="33">
        <f t="shared" si="11"/>
        <v>0</v>
      </c>
      <c r="K27" s="33" t="str">
        <f t="shared" si="22"/>
        <v/>
      </c>
      <c r="L27" s="33">
        <f t="shared" si="23"/>
        <v>0</v>
      </c>
      <c r="N27" t="s">
        <v>52</v>
      </c>
      <c r="O27" s="124">
        <f t="shared" si="24"/>
        <v>0</v>
      </c>
      <c r="P27">
        <f t="shared" si="25"/>
        <v>0</v>
      </c>
    </row>
    <row r="28" spans="1:20" x14ac:dyDescent="0.25">
      <c r="A28">
        <v>6</v>
      </c>
      <c r="B28" s="31"/>
      <c r="C28">
        <f t="shared" si="17"/>
        <v>0</v>
      </c>
      <c r="D28">
        <f t="shared" si="18"/>
        <v>0</v>
      </c>
      <c r="E28" s="6">
        <f t="shared" si="19"/>
        <v>0</v>
      </c>
      <c r="F28" s="6">
        <f t="shared" si="20"/>
        <v>0</v>
      </c>
      <c r="G28">
        <f>'1040 W4 PLANNER 2019'!K17</f>
        <v>0</v>
      </c>
      <c r="H28" s="32">
        <f t="shared" si="16"/>
        <v>0</v>
      </c>
      <c r="I28" s="33">
        <f t="shared" si="21"/>
        <v>0</v>
      </c>
      <c r="J28" s="33">
        <f t="shared" si="11"/>
        <v>0</v>
      </c>
      <c r="K28" s="33" t="str">
        <f t="shared" si="22"/>
        <v/>
      </c>
      <c r="L28" s="33">
        <f t="shared" si="23"/>
        <v>0</v>
      </c>
      <c r="N28" t="s">
        <v>52</v>
      </c>
      <c r="O28" s="124">
        <f t="shared" si="24"/>
        <v>0</v>
      </c>
      <c r="P28">
        <f t="shared" si="25"/>
        <v>0</v>
      </c>
    </row>
    <row r="29" spans="1:20" x14ac:dyDescent="0.25">
      <c r="A29">
        <v>7</v>
      </c>
      <c r="B29" s="31"/>
      <c r="C29">
        <f t="shared" si="17"/>
        <v>0</v>
      </c>
      <c r="D29">
        <f t="shared" si="18"/>
        <v>0</v>
      </c>
      <c r="E29" s="6">
        <f t="shared" si="19"/>
        <v>0</v>
      </c>
      <c r="F29" s="6">
        <f t="shared" si="20"/>
        <v>0</v>
      </c>
      <c r="G29">
        <f>'1040 W4 PLANNER 2019'!K18</f>
        <v>0</v>
      </c>
      <c r="H29" s="32">
        <f t="shared" si="16"/>
        <v>0</v>
      </c>
      <c r="I29" s="33">
        <f t="shared" si="21"/>
        <v>0</v>
      </c>
      <c r="J29" s="33">
        <f t="shared" si="11"/>
        <v>0</v>
      </c>
      <c r="K29" s="33" t="str">
        <f t="shared" si="22"/>
        <v/>
      </c>
      <c r="L29" s="33">
        <f t="shared" si="23"/>
        <v>0</v>
      </c>
      <c r="N29" t="s">
        <v>52</v>
      </c>
      <c r="O29" s="124">
        <f t="shared" si="24"/>
        <v>0</v>
      </c>
      <c r="P29">
        <f t="shared" si="25"/>
        <v>0</v>
      </c>
    </row>
    <row r="30" spans="1:20" x14ac:dyDescent="0.25">
      <c r="A30">
        <v>8</v>
      </c>
      <c r="B30" s="31"/>
      <c r="C30">
        <f t="shared" si="17"/>
        <v>0</v>
      </c>
      <c r="D30">
        <f t="shared" si="18"/>
        <v>0</v>
      </c>
      <c r="E30" s="6">
        <f t="shared" si="19"/>
        <v>0</v>
      </c>
      <c r="F30" s="6">
        <f t="shared" si="20"/>
        <v>0</v>
      </c>
      <c r="G30">
        <f>'1040 W4 PLANNER 2019'!K19</f>
        <v>0</v>
      </c>
      <c r="H30" s="32">
        <f t="shared" si="16"/>
        <v>0</v>
      </c>
      <c r="I30" s="33">
        <f t="shared" si="21"/>
        <v>0</v>
      </c>
      <c r="J30" s="33">
        <f t="shared" si="11"/>
        <v>0</v>
      </c>
      <c r="K30" s="33" t="str">
        <f t="shared" si="22"/>
        <v/>
      </c>
      <c r="L30" s="33">
        <f t="shared" si="23"/>
        <v>0</v>
      </c>
      <c r="N30" t="s">
        <v>52</v>
      </c>
      <c r="O30" s="124">
        <f t="shared" si="24"/>
        <v>0</v>
      </c>
      <c r="P30">
        <f t="shared" si="25"/>
        <v>0</v>
      </c>
    </row>
    <row r="31" spans="1:20" x14ac:dyDescent="0.25">
      <c r="B31" s="31"/>
    </row>
    <row r="32" spans="1:20" x14ac:dyDescent="0.25">
      <c r="A32" t="s">
        <v>56</v>
      </c>
      <c r="B32" s="31"/>
    </row>
    <row r="33" spans="1:16" ht="45" x14ac:dyDescent="0.25">
      <c r="B33" s="30" t="s">
        <v>7</v>
      </c>
      <c r="C33" s="30" t="s">
        <v>9</v>
      </c>
      <c r="D33" s="30" t="s">
        <v>10</v>
      </c>
      <c r="E33" s="29" t="s">
        <v>11</v>
      </c>
      <c r="F33" s="29" t="s">
        <v>43</v>
      </c>
      <c r="G33" s="29" t="s">
        <v>13</v>
      </c>
      <c r="H33" s="29" t="s">
        <v>12</v>
      </c>
      <c r="I33" s="29" t="s">
        <v>42</v>
      </c>
      <c r="J33" s="29" t="s">
        <v>16</v>
      </c>
      <c r="K33" s="29" t="s">
        <v>15</v>
      </c>
      <c r="L33" s="29" t="s">
        <v>50</v>
      </c>
      <c r="M33" s="12" t="s">
        <v>14</v>
      </c>
      <c r="N33" s="38" t="s">
        <v>54</v>
      </c>
      <c r="O33" s="38" t="s">
        <v>53</v>
      </c>
    </row>
    <row r="34" spans="1:16" x14ac:dyDescent="0.25">
      <c r="A34">
        <v>1</v>
      </c>
      <c r="B34" s="2">
        <f>'1040 W4 PLANNER 2019'!A33</f>
        <v>0</v>
      </c>
      <c r="C34" s="2">
        <f>'1040 W4 PLANNER 2019'!G33</f>
        <v>0</v>
      </c>
      <c r="D34" s="2">
        <f>'1040 W4 PLANNER 2019'!H33</f>
        <v>0</v>
      </c>
      <c r="E34" s="2">
        <f>'1040 W4 PLANNER 2019'!I33</f>
        <v>0</v>
      </c>
      <c r="F34" s="2">
        <f>'1040 W4 PLANNER 2019'!J33</f>
        <v>0</v>
      </c>
      <c r="G34" s="2">
        <f>'1040 W4 PLANNER 2019'!K33</f>
        <v>0</v>
      </c>
      <c r="H34" s="40">
        <f>'1040 W4 PLANNER 2019'!L33</f>
        <v>0</v>
      </c>
      <c r="I34" s="35">
        <f>H34*D34</f>
        <v>0</v>
      </c>
      <c r="J34" s="39" t="s">
        <v>55</v>
      </c>
      <c r="K34" s="28" t="str">
        <f>IF(E34="M",K48,K42)</f>
        <v/>
      </c>
      <c r="L34" s="40">
        <f>IF(C34&lt;&gt;0,((K34)*D34),0)</f>
        <v>0</v>
      </c>
      <c r="M34" s="2">
        <f>'1040 W4 PLANNER 2019'!R45</f>
        <v>0</v>
      </c>
      <c r="N34" s="37">
        <f>IF(B34="T", I34,0)</f>
        <v>0</v>
      </c>
      <c r="O34">
        <f>IF(B34="S", I34,0)</f>
        <v>0</v>
      </c>
    </row>
    <row r="35" spans="1:16" x14ac:dyDescent="0.25">
      <c r="A35">
        <v>2</v>
      </c>
      <c r="B35" s="2">
        <f>'1040 W4 PLANNER 2019'!A34</f>
        <v>0</v>
      </c>
      <c r="C35" s="2">
        <f>'1040 W4 PLANNER 2019'!G34</f>
        <v>0</v>
      </c>
      <c r="D35" s="2">
        <f>'1040 W4 PLANNER 2019'!H34</f>
        <v>0</v>
      </c>
      <c r="E35" s="2">
        <f>'1040 W4 PLANNER 2019'!I34</f>
        <v>0</v>
      </c>
      <c r="F35" s="2">
        <f>'1040 W4 PLANNER 2019'!J34</f>
        <v>0</v>
      </c>
      <c r="G35" s="2">
        <f>'1040 W4 PLANNER 2019'!K34</f>
        <v>0</v>
      </c>
      <c r="H35" s="40">
        <f>'1040 W4 PLANNER 2019'!L34</f>
        <v>0</v>
      </c>
      <c r="I35" s="35">
        <f>H35*D35</f>
        <v>0</v>
      </c>
      <c r="J35" s="39" t="s">
        <v>55</v>
      </c>
      <c r="K35" s="28" t="str">
        <f>IF(E35="M",K49,K43)</f>
        <v/>
      </c>
      <c r="L35" s="40">
        <f>IF(C35&lt;&gt;0,((K35)*D35),0)</f>
        <v>0</v>
      </c>
      <c r="M35" s="2"/>
      <c r="N35" s="37">
        <f>IF(B35="T", I35,0)</f>
        <v>0</v>
      </c>
      <c r="O35">
        <f>IF(B35="S", I35,0)</f>
        <v>0</v>
      </c>
    </row>
    <row r="36" spans="1:16" x14ac:dyDescent="0.25">
      <c r="A36">
        <v>3</v>
      </c>
      <c r="B36" s="2">
        <f>'1040 W4 PLANNER 2019'!A35</f>
        <v>0</v>
      </c>
      <c r="C36" s="2">
        <f>'1040 W4 PLANNER 2019'!G35</f>
        <v>0</v>
      </c>
      <c r="D36" s="2">
        <f>'1040 W4 PLANNER 2019'!H35</f>
        <v>0</v>
      </c>
      <c r="E36" s="2">
        <f>'1040 W4 PLANNER 2019'!I35</f>
        <v>0</v>
      </c>
      <c r="F36" s="2">
        <f>'1040 W4 PLANNER 2019'!J35</f>
        <v>0</v>
      </c>
      <c r="G36" s="2">
        <f>'1040 W4 PLANNER 2019'!K35</f>
        <v>0</v>
      </c>
      <c r="H36" s="40">
        <f>'1040 W4 PLANNER 2019'!L35</f>
        <v>0</v>
      </c>
      <c r="I36" s="35">
        <f>H36*D36</f>
        <v>0</v>
      </c>
      <c r="J36" s="39" t="s">
        <v>55</v>
      </c>
      <c r="K36" s="28" t="str">
        <f>IF(E36="M",K50,K44)</f>
        <v/>
      </c>
      <c r="L36" s="40">
        <f>IF(C36&lt;&gt;0,((K36)*D36),0)</f>
        <v>0</v>
      </c>
      <c r="M36" s="2"/>
      <c r="N36" s="37">
        <f>IF(B36="T", I36,0)</f>
        <v>0</v>
      </c>
      <c r="O36">
        <f>IF(B36="S", I36,0)</f>
        <v>0</v>
      </c>
    </row>
    <row r="37" spans="1:16" x14ac:dyDescent="0.25">
      <c r="A37">
        <v>4</v>
      </c>
      <c r="B37" s="2">
        <f>'1040 W4 PLANNER 2019'!A36</f>
        <v>0</v>
      </c>
      <c r="C37" s="2">
        <f>'1040 W4 PLANNER 2019'!G36</f>
        <v>0</v>
      </c>
      <c r="D37" s="2">
        <f>'1040 W4 PLANNER 2019'!H36</f>
        <v>0</v>
      </c>
      <c r="E37" s="2">
        <f>'1040 W4 PLANNER 2019'!I36</f>
        <v>0</v>
      </c>
      <c r="F37" s="2">
        <f>'1040 W4 PLANNER 2019'!J36</f>
        <v>0</v>
      </c>
      <c r="G37" s="2">
        <f>'1040 W4 PLANNER 2019'!K36</f>
        <v>0</v>
      </c>
      <c r="H37" s="40">
        <f>'1040 W4 PLANNER 2019'!L36</f>
        <v>0</v>
      </c>
      <c r="I37" s="35">
        <f>H37*D37</f>
        <v>0</v>
      </c>
      <c r="J37" s="39" t="s">
        <v>55</v>
      </c>
      <c r="K37" s="28" t="str">
        <f>IF(E37="M",K51,K45)</f>
        <v/>
      </c>
      <c r="L37" s="40">
        <f>IF(C37&lt;&gt;0,((K37)*D37),0)</f>
        <v>0</v>
      </c>
      <c r="M37" s="2"/>
      <c r="N37" s="37">
        <f>IF(B37="T", I37,0)</f>
        <v>0</v>
      </c>
      <c r="O37">
        <f>IF(B37="S", I37,0)</f>
        <v>0</v>
      </c>
    </row>
    <row r="38" spans="1:16" x14ac:dyDescent="0.25">
      <c r="A38">
        <v>5</v>
      </c>
      <c r="B38" s="2">
        <f>'1040 W4 PLANNER 2019'!A37</f>
        <v>0</v>
      </c>
      <c r="C38" s="2">
        <f>'1040 W4 PLANNER 2019'!G37</f>
        <v>0</v>
      </c>
      <c r="D38" s="2">
        <f>'1040 W4 PLANNER 2019'!H37</f>
        <v>0</v>
      </c>
      <c r="E38" s="2">
        <f>'1040 W4 PLANNER 2019'!I37</f>
        <v>0</v>
      </c>
      <c r="F38" s="2">
        <f>'1040 W4 PLANNER 2019'!J37</f>
        <v>0</v>
      </c>
      <c r="G38" s="2">
        <f>'1040 W4 PLANNER 2019'!K37</f>
        <v>0</v>
      </c>
      <c r="H38" s="40">
        <f>'1040 W4 PLANNER 2019'!L37</f>
        <v>0</v>
      </c>
      <c r="I38" s="35">
        <f>H38*D38</f>
        <v>0</v>
      </c>
      <c r="J38" s="39" t="s">
        <v>55</v>
      </c>
      <c r="K38" s="28" t="str">
        <f>IF(E38="M",K52,K46)</f>
        <v/>
      </c>
      <c r="L38" s="40">
        <f>IF(C38&lt;&gt;0,((K38)*D38),0)</f>
        <v>0</v>
      </c>
      <c r="M38" s="2"/>
      <c r="N38" s="37">
        <f>IF(B38="T", I38,0)</f>
        <v>0</v>
      </c>
      <c r="O38">
        <f>IF(B38="S", I38,0)</f>
        <v>0</v>
      </c>
    </row>
    <row r="39" spans="1:16" x14ac:dyDescent="0.25">
      <c r="L39" s="32">
        <f>SUM(L34:L38)</f>
        <v>0</v>
      </c>
      <c r="N39" s="32">
        <f>SUM(N34:N38)</f>
        <v>0</v>
      </c>
      <c r="O39" s="32">
        <f>SUM(O34:O38)</f>
        <v>0</v>
      </c>
    </row>
    <row r="41" spans="1:16" ht="30" x14ac:dyDescent="0.25">
      <c r="A41" s="51" t="s">
        <v>103</v>
      </c>
      <c r="E41" s="41" t="s">
        <v>45</v>
      </c>
      <c r="F41" t="s">
        <v>46</v>
      </c>
      <c r="H41" t="s">
        <v>47</v>
      </c>
      <c r="I41" t="s">
        <v>48</v>
      </c>
      <c r="J41" t="s">
        <v>49</v>
      </c>
    </row>
    <row r="42" spans="1:16" x14ac:dyDescent="0.25">
      <c r="A42">
        <v>1</v>
      </c>
      <c r="B42" s="31"/>
      <c r="C42">
        <f t="shared" ref="C42:D46" si="26">C34</f>
        <v>0</v>
      </c>
      <c r="D42">
        <f t="shared" si="26"/>
        <v>0</v>
      </c>
      <c r="E42" s="6">
        <f>IF(C34=260,16.2,IF(C34=52,80.8,IF(C34=26,161.5,IF(C34=24,175,IF(C34=12,350,IF(C34=4,1050,IF(C34=2,2100,IF(C34=1,4200,0))))))))</f>
        <v>0</v>
      </c>
      <c r="F42" s="6">
        <f>E42*F34</f>
        <v>0</v>
      </c>
      <c r="G42">
        <f>'1040 W4 PLANNER 2019'!K33</f>
        <v>0</v>
      </c>
      <c r="H42" s="32">
        <f>H34-F42</f>
        <v>0</v>
      </c>
      <c r="I42" s="33">
        <f>H42*C42</f>
        <v>0</v>
      </c>
      <c r="J42" s="33">
        <f>IF(O42&gt;P42,O42,P42)</f>
        <v>0</v>
      </c>
      <c r="K42" s="33" t="str">
        <f>IF(C42&lt;&gt;0,(J42/C42)+G42,"")</f>
        <v/>
      </c>
      <c r="L42" s="33">
        <f>IF(C42&lt;&gt;0,((K42)*D42),0)</f>
        <v>0</v>
      </c>
      <c r="N42" t="s">
        <v>51</v>
      </c>
      <c r="O42" s="124">
        <f>IF(I42&lt;3800,0,IF(I42&lt;13500,(I42-3800)*0.1,IF(I42&lt;43275,(I42-13500)*0.12+970,IF(I42&lt;88000,(I42-43275)*0.22+4543,IF(I42&lt;164525,(I42-88000)*0.24+14382.5,IF(I42&lt;207900,(I42-164525)*0.32+32748.5,IF(I42&lt;514100,(I42-207900)*0.35+46628.5,(I42-514100)*0.37+153798.5)))))))</f>
        <v>0</v>
      </c>
      <c r="P42">
        <f>IF(I42&gt;420700,I42*0.396+121505.25,0)</f>
        <v>0</v>
      </c>
    </row>
    <row r="43" spans="1:16" x14ac:dyDescent="0.25">
      <c r="A43">
        <v>2</v>
      </c>
      <c r="B43" s="31"/>
      <c r="C43">
        <f t="shared" si="26"/>
        <v>0</v>
      </c>
      <c r="D43">
        <f t="shared" si="26"/>
        <v>0</v>
      </c>
      <c r="E43" s="6">
        <f t="shared" ref="E43:E46" si="27">IF(C35=260,16.2,IF(C35=52,80.8,IF(C35=26,161.5,IF(C35=24,175,IF(C35=12,350,IF(C35=4,1050,IF(C35=2,2100,IF(C35=1,4200,0))))))))</f>
        <v>0</v>
      </c>
      <c r="F43" s="6">
        <f>E43*F35</f>
        <v>0</v>
      </c>
      <c r="G43">
        <f>'1040 W4 PLANNER 2019'!K34</f>
        <v>0</v>
      </c>
      <c r="H43" s="32">
        <f>H35-F43</f>
        <v>0</v>
      </c>
      <c r="I43" s="33">
        <f>H43*C43</f>
        <v>0</v>
      </c>
      <c r="J43">
        <f>IF(O43&gt;P43,O43,P43)</f>
        <v>0</v>
      </c>
      <c r="K43" s="33" t="str">
        <f>IF(C43&lt;&gt;0,(J43/C43)+G43,"")</f>
        <v/>
      </c>
      <c r="L43" s="33">
        <f>IF(C43&lt;&gt;0,((K43)*D43),0)</f>
        <v>0</v>
      </c>
      <c r="N43" t="s">
        <v>51</v>
      </c>
      <c r="O43" s="124">
        <f t="shared" ref="O43:O46" si="28">IF(I43&lt;3800,0,IF(I43&lt;13500,(I43-3800)*0.1,IF(I43&lt;43275,(I43-13500)*0.12+970,IF(I43&lt;88000,(I43-43275)*0.22+4543,IF(I43&lt;164525,(I43-88000)*0.24+14382.5,IF(I43&lt;207900,(I43-164525)*0.32+32748.5,IF(I43&lt;514100,(I43-207900)*0.35+46628.5,(I43-514100)*0.37+153798.5)))))))</f>
        <v>0</v>
      </c>
      <c r="P43">
        <f>IF(I43&gt;420700,I43*0.396+121505.25,0)</f>
        <v>0</v>
      </c>
    </row>
    <row r="44" spans="1:16" x14ac:dyDescent="0.25">
      <c r="A44">
        <v>3</v>
      </c>
      <c r="B44" s="31"/>
      <c r="C44">
        <f t="shared" si="26"/>
        <v>0</v>
      </c>
      <c r="D44">
        <f t="shared" si="26"/>
        <v>0</v>
      </c>
      <c r="E44" s="6">
        <f t="shared" si="27"/>
        <v>0</v>
      </c>
      <c r="F44" s="6">
        <f>E44*F36</f>
        <v>0</v>
      </c>
      <c r="G44">
        <f>'1040 W4 PLANNER 2019'!K35</f>
        <v>0</v>
      </c>
      <c r="H44" s="32">
        <f>H36-F44</f>
        <v>0</v>
      </c>
      <c r="I44" s="33">
        <f>H44*C44</f>
        <v>0</v>
      </c>
      <c r="J44">
        <f>IF(O44&gt;P44,O44,P44)</f>
        <v>0</v>
      </c>
      <c r="K44" s="33" t="str">
        <f>IF(C44&lt;&gt;0,(J44/C44)+G44,"")</f>
        <v/>
      </c>
      <c r="L44" s="33">
        <f>IF(C44&lt;&gt;0,((K44)*D44),0)</f>
        <v>0</v>
      </c>
      <c r="N44" t="s">
        <v>51</v>
      </c>
      <c r="O44" s="124">
        <f t="shared" si="28"/>
        <v>0</v>
      </c>
      <c r="P44">
        <f>IF(I44&gt;420700,I44*0.396+121505.25,0)</f>
        <v>0</v>
      </c>
    </row>
    <row r="45" spans="1:16" x14ac:dyDescent="0.25">
      <c r="A45">
        <v>4</v>
      </c>
      <c r="B45" s="31"/>
      <c r="C45">
        <f t="shared" si="26"/>
        <v>0</v>
      </c>
      <c r="D45">
        <f t="shared" si="26"/>
        <v>0</v>
      </c>
      <c r="E45" s="6">
        <f t="shared" si="27"/>
        <v>0</v>
      </c>
      <c r="F45" s="6">
        <f>E45*F37</f>
        <v>0</v>
      </c>
      <c r="G45">
        <f>'1040 W4 PLANNER 2019'!K36</f>
        <v>0</v>
      </c>
      <c r="H45" s="32">
        <f>H37-F45</f>
        <v>0</v>
      </c>
      <c r="I45" s="33">
        <f>H45*C45</f>
        <v>0</v>
      </c>
      <c r="J45">
        <f>IF(O45&gt;P45,O45,P45)</f>
        <v>0</v>
      </c>
      <c r="K45" s="33" t="str">
        <f>IF(C45&lt;&gt;0,(J45/C45)+G45,"")</f>
        <v/>
      </c>
      <c r="L45" s="33">
        <f>IF(C45&lt;&gt;0,((K45)*D45),0)</f>
        <v>0</v>
      </c>
      <c r="N45" t="s">
        <v>51</v>
      </c>
      <c r="O45" s="124">
        <f t="shared" si="28"/>
        <v>0</v>
      </c>
      <c r="P45">
        <f>IF(I45&gt;420700,I45*0.396+121505.25,0)</f>
        <v>0</v>
      </c>
    </row>
    <row r="46" spans="1:16" x14ac:dyDescent="0.25">
      <c r="A46">
        <v>5</v>
      </c>
      <c r="B46" s="31"/>
      <c r="C46">
        <f t="shared" si="26"/>
        <v>0</v>
      </c>
      <c r="D46">
        <f t="shared" si="26"/>
        <v>0</v>
      </c>
      <c r="E46" s="6">
        <f t="shared" si="27"/>
        <v>0</v>
      </c>
      <c r="F46" s="6">
        <f>E46*F38</f>
        <v>0</v>
      </c>
      <c r="G46">
        <f>'1040 W4 PLANNER 2019'!K37</f>
        <v>0</v>
      </c>
      <c r="H46" s="32">
        <f>H38-F46</f>
        <v>0</v>
      </c>
      <c r="I46" s="33">
        <f>H46*C46</f>
        <v>0</v>
      </c>
      <c r="J46">
        <f>IF(O46&gt;P46,O46,P46)</f>
        <v>0</v>
      </c>
      <c r="K46" s="33" t="str">
        <f>IF(C46&lt;&gt;0,(J46/C46)+G46,"")</f>
        <v/>
      </c>
      <c r="L46" s="33">
        <f>IF(C46&lt;&gt;0,((K46)*D46),0)</f>
        <v>0</v>
      </c>
      <c r="N46" t="s">
        <v>51</v>
      </c>
      <c r="O46" s="124">
        <f t="shared" si="28"/>
        <v>0</v>
      </c>
      <c r="P46">
        <f>IF(I46&gt;420700,I46*0.396+121505.25,0)</f>
        <v>0</v>
      </c>
    </row>
    <row r="47" spans="1:16" x14ac:dyDescent="0.25">
      <c r="A47" s="51" t="s">
        <v>107</v>
      </c>
    </row>
    <row r="48" spans="1:16" x14ac:dyDescent="0.25">
      <c r="A48">
        <v>1</v>
      </c>
      <c r="B48" s="31"/>
      <c r="C48">
        <f t="shared" ref="C48:D52" si="29">C34</f>
        <v>0</v>
      </c>
      <c r="D48">
        <f t="shared" si="29"/>
        <v>0</v>
      </c>
      <c r="E48" s="6">
        <f>IF(C34=260,16.2,IF(C34=52,80.8,IF(C34=26,161.5,IF(C34=24,175,IF(C34=12,350,IF(C34=4,1050,IF(C34=2,2100,IF(C34=1,4200,0))))))))</f>
        <v>0</v>
      </c>
      <c r="F48" s="6">
        <f>E42*F34</f>
        <v>0</v>
      </c>
      <c r="G48">
        <f>'1040 W4 PLANNER 2019'!K33</f>
        <v>0</v>
      </c>
      <c r="H48" s="32">
        <f>H34-F48</f>
        <v>0</v>
      </c>
      <c r="I48" s="33">
        <f>H48*C48</f>
        <v>0</v>
      </c>
      <c r="J48" s="33">
        <f>IF(O48&gt;P48,O48,P48)</f>
        <v>0</v>
      </c>
      <c r="K48" s="33" t="str">
        <f>IF(C48&lt;&gt;0,(J48/C48)+G48,"")</f>
        <v/>
      </c>
      <c r="L48" s="33">
        <f>IF(C48&lt;&gt;0,((K48)*D48),0)</f>
        <v>0</v>
      </c>
      <c r="N48" t="s">
        <v>52</v>
      </c>
      <c r="O48" s="124">
        <f>IF(I42&lt;11800,0,IF(I42&lt;31200,(I42-11800)*0.1,IF(I42&lt;90750,(I42-31200)*0.12+1940,IF(I42&lt;180200,(I42-90750)*0.22+9086,IF(I42&lt;333250,(I42-180200)*0.24+28765,IF(I42&lt;420000,(I42-333250)*0.32+65497,IF(I42&lt;624150,(I42-420000)*0.35+93257,(I42-624150)*0.37+164709.5)))))))</f>
        <v>0</v>
      </c>
      <c r="P48">
        <f>IF(I42&gt;479350,I42*0.396+131628,0)</f>
        <v>0</v>
      </c>
    </row>
    <row r="49" spans="1:16" x14ac:dyDescent="0.25">
      <c r="A49">
        <v>2</v>
      </c>
      <c r="B49" s="31"/>
      <c r="C49">
        <f t="shared" si="29"/>
        <v>0</v>
      </c>
      <c r="D49">
        <f t="shared" si="29"/>
        <v>0</v>
      </c>
      <c r="E49" s="6">
        <f t="shared" ref="E49:E52" si="30">IF(C35=260,16.2,IF(C35=52,80.8,IF(C35=26,161.5,IF(C35=24,175,IF(C35=12,350,IF(C35=4,1050,IF(C35=2,2100,IF(C35=1,4200,0))))))))</f>
        <v>0</v>
      </c>
      <c r="F49" s="6">
        <f>E43*F35</f>
        <v>0</v>
      </c>
      <c r="G49">
        <f>'1040 W4 PLANNER 2019'!K34</f>
        <v>0</v>
      </c>
      <c r="H49" s="32">
        <f>H35-F49</f>
        <v>0</v>
      </c>
      <c r="I49" s="33">
        <f>H49*C49</f>
        <v>0</v>
      </c>
      <c r="J49" s="33">
        <f>IF(O49&gt;P49,O49,P49)</f>
        <v>0</v>
      </c>
      <c r="K49" s="33" t="str">
        <f>IF(C49&lt;&gt;0,(J49/C49)+G49,"")</f>
        <v/>
      </c>
      <c r="L49" s="33">
        <f>IF(C49&lt;&gt;0,((K49)*D49),0)</f>
        <v>0</v>
      </c>
      <c r="N49" t="s">
        <v>52</v>
      </c>
      <c r="O49" s="124">
        <f t="shared" ref="O49:O52" si="31">IF(I43&lt;11800,0,IF(I43&lt;31200,(I43-11800)*0.1,IF(I43&lt;90750,(I43-31200)*0.12+1940,IF(I43&lt;180200,(I43-90750)*0.22+9086,IF(I43&lt;333250,(I43-180200)*0.24+28765,IF(I43&lt;420000,(I43-333250)*0.32+65497,IF(I43&lt;624150,(I43-420000)*0.35+93257,(I43-624150)*0.37+164709.5)))))))</f>
        <v>0</v>
      </c>
      <c r="P49">
        <f>IF(I43&gt;479350,I43*0.396+131628,0)</f>
        <v>0</v>
      </c>
    </row>
    <row r="50" spans="1:16" x14ac:dyDescent="0.25">
      <c r="A50">
        <v>3</v>
      </c>
      <c r="B50" s="31"/>
      <c r="C50">
        <f t="shared" si="29"/>
        <v>0</v>
      </c>
      <c r="D50">
        <f t="shared" si="29"/>
        <v>0</v>
      </c>
      <c r="E50" s="6">
        <f t="shared" si="30"/>
        <v>0</v>
      </c>
      <c r="F50" s="6">
        <f>E44*F36</f>
        <v>0</v>
      </c>
      <c r="G50">
        <f>'1040 W4 PLANNER 2019'!K35</f>
        <v>0</v>
      </c>
      <c r="H50" s="32">
        <f>H36-F50</f>
        <v>0</v>
      </c>
      <c r="I50" s="33">
        <f>H50*C50</f>
        <v>0</v>
      </c>
      <c r="J50" s="33">
        <f>IF(O50&gt;P50,O50,P50)</f>
        <v>0</v>
      </c>
      <c r="K50" s="33" t="str">
        <f>IF(C50&lt;&gt;0,(J50/C50)+G50,"")</f>
        <v/>
      </c>
      <c r="L50" s="33">
        <f>IF(C50&lt;&gt;0,((K50)*D50),0)</f>
        <v>0</v>
      </c>
      <c r="N50" t="s">
        <v>52</v>
      </c>
      <c r="O50" s="124">
        <f t="shared" si="31"/>
        <v>0</v>
      </c>
      <c r="P50">
        <f>IF(I44&gt;479350,I44*0.396+131628,0)</f>
        <v>0</v>
      </c>
    </row>
    <row r="51" spans="1:16" x14ac:dyDescent="0.25">
      <c r="A51">
        <v>4</v>
      </c>
      <c r="B51" s="31"/>
      <c r="C51">
        <f t="shared" si="29"/>
        <v>0</v>
      </c>
      <c r="D51">
        <f t="shared" si="29"/>
        <v>0</v>
      </c>
      <c r="E51" s="6">
        <f t="shared" si="30"/>
        <v>0</v>
      </c>
      <c r="F51" s="6">
        <f>E45*F37</f>
        <v>0</v>
      </c>
      <c r="G51">
        <f>'1040 W4 PLANNER 2019'!K36</f>
        <v>0</v>
      </c>
      <c r="H51" s="32">
        <f>H37-F51</f>
        <v>0</v>
      </c>
      <c r="I51" s="33">
        <f>H51*C51</f>
        <v>0</v>
      </c>
      <c r="J51" s="33">
        <f>IF(O51&gt;P51,O51,P51)</f>
        <v>0</v>
      </c>
      <c r="K51" s="33" t="str">
        <f>IF(C51&lt;&gt;0,(J51/C51)+G51,"")</f>
        <v/>
      </c>
      <c r="L51" s="33">
        <f>IF(C51&lt;&gt;0,((K51)*D51),0)</f>
        <v>0</v>
      </c>
      <c r="N51" t="s">
        <v>52</v>
      </c>
      <c r="O51" s="124">
        <f t="shared" si="31"/>
        <v>0</v>
      </c>
      <c r="P51">
        <f>IF(I45&gt;479350,I45*0.396+131628,0)</f>
        <v>0</v>
      </c>
    </row>
    <row r="52" spans="1:16" x14ac:dyDescent="0.25">
      <c r="A52">
        <v>5</v>
      </c>
      <c r="B52" s="31"/>
      <c r="C52">
        <f t="shared" si="29"/>
        <v>0</v>
      </c>
      <c r="D52">
        <f t="shared" si="29"/>
        <v>0</v>
      </c>
      <c r="E52" s="6">
        <f t="shared" si="30"/>
        <v>0</v>
      </c>
      <c r="F52" s="6">
        <f>E46*F38</f>
        <v>0</v>
      </c>
      <c r="G52">
        <f>'1040 W4 PLANNER 2019'!K37</f>
        <v>0</v>
      </c>
      <c r="H52" s="32">
        <f>H38-F52</f>
        <v>0</v>
      </c>
      <c r="I52" s="33">
        <f>H52*C52</f>
        <v>0</v>
      </c>
      <c r="J52" s="33">
        <f>IF(O52&gt;P52,O52,P52)</f>
        <v>0</v>
      </c>
      <c r="K52" s="33" t="str">
        <f>IF(C52&lt;&gt;0,(J52/C52)+G52,"")</f>
        <v/>
      </c>
      <c r="L52" s="33">
        <f>IF(C52&lt;&gt;0,((K52)*D52),0)</f>
        <v>0</v>
      </c>
      <c r="N52" t="s">
        <v>52</v>
      </c>
      <c r="O52" s="124">
        <f t="shared" si="31"/>
        <v>0</v>
      </c>
      <c r="P52">
        <f>IF(I46&gt;479350,I46*0.396+131628,0)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N37"/>
  <sheetViews>
    <sheetView workbookViewId="0">
      <selection activeCell="K3" sqref="K3"/>
    </sheetView>
  </sheetViews>
  <sheetFormatPr defaultRowHeight="15" x14ac:dyDescent="0.25"/>
  <cols>
    <col min="1" max="1" width="6.85546875" customWidth="1"/>
    <col min="2" max="2" width="16.7109375" customWidth="1"/>
    <col min="4" max="4" width="11.7109375" customWidth="1"/>
    <col min="7" max="7" width="11.5703125" bestFit="1" customWidth="1"/>
    <col min="8" max="8" width="11" bestFit="1" customWidth="1"/>
    <col min="11" max="11" width="14.28515625" customWidth="1"/>
    <col min="12" max="12" width="11.5703125" bestFit="1" customWidth="1"/>
  </cols>
  <sheetData>
    <row r="1" spans="1:14" x14ac:dyDescent="0.25">
      <c r="A1" t="s">
        <v>61</v>
      </c>
      <c r="C1" t="s">
        <v>63</v>
      </c>
      <c r="D1">
        <f>'1040 W4 PLANNER 2019'!N8</f>
        <v>2</v>
      </c>
      <c r="G1" s="116" t="s">
        <v>342</v>
      </c>
      <c r="K1" t="s">
        <v>349</v>
      </c>
    </row>
    <row r="2" spans="1:14" x14ac:dyDescent="0.25">
      <c r="B2" s="51">
        <v>2019</v>
      </c>
    </row>
    <row r="3" spans="1:14" x14ac:dyDescent="0.25">
      <c r="A3">
        <v>1</v>
      </c>
      <c r="B3" s="37">
        <f>'1040 W4 PLANNER 2019'!G48</f>
        <v>0</v>
      </c>
      <c r="C3" t="s">
        <v>65</v>
      </c>
      <c r="K3" s="51" t="s">
        <v>390</v>
      </c>
    </row>
    <row r="4" spans="1:14" x14ac:dyDescent="0.25">
      <c r="A4">
        <f>A3+1</f>
        <v>2</v>
      </c>
      <c r="B4" s="32">
        <f>B3/2</f>
        <v>0</v>
      </c>
      <c r="C4" s="43" t="s">
        <v>66</v>
      </c>
      <c r="G4" s="51">
        <v>2019</v>
      </c>
      <c r="K4">
        <f>'1040 W4 PLANNER 2019'!N8</f>
        <v>2</v>
      </c>
    </row>
    <row r="5" spans="1:14" x14ac:dyDescent="0.25">
      <c r="A5">
        <f t="shared" ref="A5:A20" si="0">A4+1</f>
        <v>3</v>
      </c>
      <c r="B5" s="37">
        <f>'1040 W4 PLANNER 2019'!P21+'1040 W4 PLANNER 2019'!P22+'1040 W4 PLANNER 2019'!P23+'1040 W4 PLANNER 2019'!P24+'1040 W4 PLANNER 2019'!P25+'1040 W4 PLANNER 2019'!P26+'1040 W4 PLANNER 2019'!P27+'1040 W4 PLANNER 2019'!P28+'1040 W4 PLANNER 2019'!P29+'1040 W4 PLANNER 2019'!P30+'1040 W4 PLANNER 2019'!P40+'1040 W4 PLANNER 2019'!P41+'1040 W4 PLANNER 2019'!P42+'1040 W4 PLANNER 2019'!P45+'1040 W4 PLANNER 2019'!P46+'1040 W4 PLANNER 2019'!P47+'1040 W4 PLANNER 2019'!P49</f>
        <v>0</v>
      </c>
      <c r="C5" t="s">
        <v>67</v>
      </c>
      <c r="F5" t="s">
        <v>86</v>
      </c>
      <c r="K5" t="s">
        <v>366</v>
      </c>
      <c r="L5" t="s">
        <v>367</v>
      </c>
    </row>
    <row r="6" spans="1:14" x14ac:dyDescent="0.25">
      <c r="A6">
        <f t="shared" si="0"/>
        <v>4</v>
      </c>
      <c r="B6" s="37">
        <f>'1040 W4 PLANNER 2019'!I23</f>
        <v>0</v>
      </c>
      <c r="C6" t="s">
        <v>68</v>
      </c>
      <c r="F6">
        <v>1</v>
      </c>
      <c r="G6" s="37">
        <f>IF(D1=1,12200,IF(D1=3,12200,IF(D1=4,18350,24400)))</f>
        <v>24400</v>
      </c>
      <c r="H6" t="s">
        <v>88</v>
      </c>
      <c r="K6" s="134">
        <f>IF(K4=2,315000,157500)</f>
        <v>315000</v>
      </c>
      <c r="L6" s="134">
        <v>315000</v>
      </c>
      <c r="M6" t="s">
        <v>350</v>
      </c>
    </row>
    <row r="7" spans="1:14" x14ac:dyDescent="0.25">
      <c r="A7">
        <f t="shared" si="0"/>
        <v>5</v>
      </c>
      <c r="B7" s="37">
        <f>B6+B5+B4</f>
        <v>0</v>
      </c>
      <c r="C7" t="s">
        <v>69</v>
      </c>
      <c r="F7" t="s">
        <v>87</v>
      </c>
      <c r="G7" s="37" t="e">
        <f>IF('1040 W4 PLANNER 2019'!#REF!+'1040 W4 PLANNER 2019'!O5=0,1,0)</f>
        <v>#REF!</v>
      </c>
      <c r="H7" t="s">
        <v>89</v>
      </c>
      <c r="K7" s="134">
        <f>IF(K4=2,100000,50000)</f>
        <v>100000</v>
      </c>
      <c r="L7" s="134">
        <v>100000</v>
      </c>
      <c r="M7" t="s">
        <v>135</v>
      </c>
    </row>
    <row r="8" spans="1:14" x14ac:dyDescent="0.25">
      <c r="A8">
        <f t="shared" si="0"/>
        <v>6</v>
      </c>
      <c r="B8" s="37">
        <f>SUM('1040 W4 PLANNER 2019'!P52:P63)</f>
        <v>0</v>
      </c>
      <c r="C8" t="s">
        <v>70</v>
      </c>
      <c r="F8" t="s">
        <v>26</v>
      </c>
      <c r="G8" s="37">
        <f>'1040 W4 PLANNER 2019'!P21+'1040 W4 PLANNER 2019'!P22+'1040 W4 PLANNER 2019'!P27+'1040 W4 PLANNER 2019'!P28+'1040 W4 PLANNER 2019'!P45+'1040 W4 PLANNER 2019'!P46</f>
        <v>0</v>
      </c>
      <c r="H8" t="s">
        <v>90</v>
      </c>
      <c r="K8" s="134">
        <f>IF('1040 W4 PLANNER 2019'!N27="X",'1040 W4 PLANNER 2019'!P27,0)</f>
        <v>0</v>
      </c>
      <c r="L8" s="134">
        <f>IF('1040 W4 PLANNER 2019'!P27&lt;&gt;"X",'1040 W4 PLANNER 2019'!P27,0)</f>
        <v>0</v>
      </c>
      <c r="M8" t="s">
        <v>352</v>
      </c>
      <c r="N8" t="s">
        <v>351</v>
      </c>
    </row>
    <row r="9" spans="1:14" x14ac:dyDescent="0.25">
      <c r="A9">
        <f t="shared" si="0"/>
        <v>7</v>
      </c>
      <c r="B9" s="37">
        <f>IF(B7&gt;B8,B7-B8,0)</f>
        <v>0</v>
      </c>
      <c r="C9" t="s">
        <v>71</v>
      </c>
      <c r="F9">
        <v>3</v>
      </c>
      <c r="G9" s="37">
        <f>IF(G8&gt;650,G8+350,1050)</f>
        <v>1050</v>
      </c>
      <c r="H9" t="s">
        <v>336</v>
      </c>
      <c r="K9" s="134">
        <f>IF('1040 W4 PLANNER 2019'!N28="X",'1040 W4 PLANNER 2019'!P28,0)</f>
        <v>0</v>
      </c>
      <c r="L9" s="134">
        <f>IF('1040 W4 PLANNER 2019'!P28&lt;&gt;"X",'1040 W4 PLANNER 2019'!P28,0)</f>
        <v>0</v>
      </c>
      <c r="M9" t="s">
        <v>353</v>
      </c>
    </row>
    <row r="10" spans="1:14" x14ac:dyDescent="0.25">
      <c r="A10">
        <f t="shared" si="0"/>
        <v>8</v>
      </c>
      <c r="B10" s="37">
        <f>IF(D1=2,32000,IF(D1=1,25000,IF(D1=4,25000,0)))</f>
        <v>32000</v>
      </c>
      <c r="F10">
        <v>4</v>
      </c>
      <c r="G10" s="37">
        <f>IF(G9&gt;G6,G6,G9)</f>
        <v>1050</v>
      </c>
      <c r="H10" t="s">
        <v>91</v>
      </c>
      <c r="K10" s="134">
        <f>IF('1040 W4 PLANNER 2019'!N42="X",'1040 W4 PLANNER 2019'!P42,0)</f>
        <v>0</v>
      </c>
      <c r="L10" s="134"/>
    </row>
    <row r="11" spans="1:14" x14ac:dyDescent="0.25">
      <c r="A11">
        <f t="shared" si="0"/>
        <v>9</v>
      </c>
      <c r="B11" s="37">
        <f>IF(B9&gt;B10,B9-B10,0)</f>
        <v>0</v>
      </c>
      <c r="C11" s="43" t="s">
        <v>72</v>
      </c>
      <c r="F11" t="s">
        <v>26</v>
      </c>
      <c r="G11" s="37" t="e">
        <f>IF(G7=0,G6,G10)</f>
        <v>#REF!</v>
      </c>
      <c r="H11" t="s">
        <v>89</v>
      </c>
      <c r="K11" s="134">
        <f>IF('1040 W4 PLANNER 2019'!N43="X",'1040 W4 PLANNER 2019'!P43,0)</f>
        <v>0</v>
      </c>
      <c r="L11" s="134">
        <f>IF('1040 W4 PLANNER 2019'!N43&lt;&gt;"X",'1040 W4 PLANNER 2019'!P43,0)</f>
        <v>0</v>
      </c>
      <c r="M11" t="s">
        <v>354</v>
      </c>
    </row>
    <row r="12" spans="1:14" x14ac:dyDescent="0.25">
      <c r="A12">
        <f t="shared" si="0"/>
        <v>10</v>
      </c>
      <c r="B12" s="37">
        <f>IF(D1=2,12000,9000)</f>
        <v>12000</v>
      </c>
      <c r="F12">
        <v>5</v>
      </c>
      <c r="G12" s="37">
        <f>IF(D1=1,1650*'1040 W4 PLANNER 2019'!N9,IF(D1=4,1650*'1040 W4 PLANNER 2019'!N9,1300*'1040 W4 PLANNER 2019'!N9))</f>
        <v>0</v>
      </c>
      <c r="H12" t="s">
        <v>92</v>
      </c>
      <c r="K12" s="134">
        <f>IF('1040 W4 PLANNER 2019'!N44="X",'1040 W4 PLANNER 2019'!P44,0)</f>
        <v>0</v>
      </c>
      <c r="L12" s="134">
        <f>IF('1040 W4 PLANNER 2019'!N44&lt;&gt;"X",'1040 W4 PLANNER 2019'!P44,0)</f>
        <v>0</v>
      </c>
      <c r="M12" t="s">
        <v>355</v>
      </c>
    </row>
    <row r="13" spans="1:14" x14ac:dyDescent="0.25">
      <c r="A13">
        <f t="shared" si="0"/>
        <v>11</v>
      </c>
      <c r="B13" s="37">
        <f>IF(B11&gt;B12,B11-B12,0)</f>
        <v>0</v>
      </c>
      <c r="C13" s="43" t="s">
        <v>73</v>
      </c>
      <c r="F13">
        <v>6</v>
      </c>
      <c r="G13" s="32">
        <f>G12+G6</f>
        <v>24400</v>
      </c>
      <c r="H13" t="s">
        <v>93</v>
      </c>
      <c r="L13" s="134">
        <f>'1040 W4 PLANNER 2019'!P45</f>
        <v>0</v>
      </c>
      <c r="M13" t="s">
        <v>368</v>
      </c>
    </row>
    <row r="14" spans="1:14" x14ac:dyDescent="0.25">
      <c r="A14">
        <f t="shared" si="0"/>
        <v>12</v>
      </c>
      <c r="B14" s="37">
        <f>IF(B11&gt;B12,B12,B11)</f>
        <v>0</v>
      </c>
      <c r="C14" t="s">
        <v>74</v>
      </c>
      <c r="L14" s="134">
        <f>'1040 W4 PLANNER 2019'!P46</f>
        <v>0</v>
      </c>
      <c r="M14" t="s">
        <v>369</v>
      </c>
    </row>
    <row r="15" spans="1:14" x14ac:dyDescent="0.25">
      <c r="A15">
        <f t="shared" si="0"/>
        <v>13</v>
      </c>
      <c r="B15" s="37">
        <f>B14/2</f>
        <v>0</v>
      </c>
      <c r="C15" s="43" t="s">
        <v>66</v>
      </c>
      <c r="K15" s="134">
        <f>SUM(K8:K12)</f>
        <v>0</v>
      </c>
      <c r="L15" s="134">
        <f>SUM(L8:L12)</f>
        <v>0</v>
      </c>
      <c r="M15" t="s">
        <v>356</v>
      </c>
    </row>
    <row r="16" spans="1:14" x14ac:dyDescent="0.25">
      <c r="A16">
        <f t="shared" si="0"/>
        <v>14</v>
      </c>
      <c r="B16" s="37">
        <f>IF(B15&gt;B4,B4,B15)</f>
        <v>0</v>
      </c>
      <c r="C16" t="s">
        <v>75</v>
      </c>
      <c r="K16" s="134">
        <f>K15*0.2</f>
        <v>0</v>
      </c>
      <c r="L16" s="134">
        <f>L15*0.2</f>
        <v>0</v>
      </c>
      <c r="M16" t="s">
        <v>357</v>
      </c>
    </row>
    <row r="17" spans="1:13" x14ac:dyDescent="0.25">
      <c r="A17">
        <f t="shared" si="0"/>
        <v>15</v>
      </c>
      <c r="B17" s="37">
        <f>B13*0.85</f>
        <v>0</v>
      </c>
      <c r="C17" s="42" t="s">
        <v>76</v>
      </c>
      <c r="K17" s="134">
        <f>'1040 W4 PLANNER 2019'!P50-'1040 W4 PLANNER 2019'!P52-'1040 W4 PLANNER 2019'!P53-'1040 W4 PLANNER 2019'!P54-'1040 W4 PLANNER 2019'!P56-'1040 W4 PLANNER 2019'!P57-'1040 W4 PLANNER 2019'!P58-'1040 W4 PLANNER 2019'!P59-'1040 W4 PLANNER 2019'!P60-'1040 W4 PLANNER 2019'!P61-'1040 W4 PLANNER 2019'!P62-'1040 W4 PLANNER 2019'!P63</f>
        <v>0</v>
      </c>
      <c r="L17" s="134"/>
      <c r="M17" t="s">
        <v>358</v>
      </c>
    </row>
    <row r="18" spans="1:13" x14ac:dyDescent="0.25">
      <c r="A18">
        <f t="shared" si="0"/>
        <v>16</v>
      </c>
      <c r="B18" s="37">
        <f>B17+B16</f>
        <v>0</v>
      </c>
      <c r="C18" s="44" t="s">
        <v>77</v>
      </c>
      <c r="K18" s="115">
        <f>IF(K17&gt;K6,K17-K6,0)</f>
        <v>0</v>
      </c>
      <c r="M18" t="s">
        <v>370</v>
      </c>
    </row>
    <row r="19" spans="1:13" x14ac:dyDescent="0.25">
      <c r="A19">
        <f t="shared" si="0"/>
        <v>17</v>
      </c>
      <c r="B19" s="37">
        <f>B3*0.85</f>
        <v>0</v>
      </c>
      <c r="C19" s="44" t="s">
        <v>78</v>
      </c>
      <c r="G19" t="s">
        <v>95</v>
      </c>
      <c r="K19" s="115">
        <f>ROUND(K18/1000,0)*1000</f>
        <v>0</v>
      </c>
      <c r="M19" t="s">
        <v>136</v>
      </c>
    </row>
    <row r="20" spans="1:13" x14ac:dyDescent="0.25">
      <c r="A20">
        <f t="shared" si="0"/>
        <v>18</v>
      </c>
      <c r="B20" s="37">
        <f>IF(B18&gt;B19,B19,B18)</f>
        <v>0</v>
      </c>
      <c r="C20" t="s">
        <v>79</v>
      </c>
      <c r="K20" s="133">
        <f>K19/K7</f>
        <v>0</v>
      </c>
    </row>
    <row r="21" spans="1:13" x14ac:dyDescent="0.25">
      <c r="A21">
        <v>19</v>
      </c>
      <c r="B21" s="37">
        <f>IF(D1=3,B3*0.85,B20)</f>
        <v>0</v>
      </c>
      <c r="C21" t="s">
        <v>64</v>
      </c>
      <c r="K21" s="134">
        <f>K20*K16</f>
        <v>0</v>
      </c>
    </row>
    <row r="22" spans="1:13" x14ac:dyDescent="0.25">
      <c r="B22" s="51">
        <v>2019</v>
      </c>
      <c r="G22" s="51">
        <v>2019</v>
      </c>
      <c r="K22" s="134"/>
      <c r="L22" s="135">
        <f>K21+L16</f>
        <v>0</v>
      </c>
      <c r="M22" t="s">
        <v>371</v>
      </c>
    </row>
    <row r="23" spans="1:13" x14ac:dyDescent="0.25">
      <c r="A23" t="s">
        <v>80</v>
      </c>
      <c r="D23" t="s">
        <v>84</v>
      </c>
      <c r="G23">
        <v>1</v>
      </c>
      <c r="H23" s="37">
        <f>'1040 W4 PLANNER 2019'!G62</f>
        <v>0</v>
      </c>
      <c r="I23" t="s">
        <v>100</v>
      </c>
      <c r="K23" s="134"/>
    </row>
    <row r="24" spans="1:13" x14ac:dyDescent="0.25">
      <c r="A24" t="s">
        <v>81</v>
      </c>
      <c r="B24" s="37">
        <f>'1040 W4 PLANNER 2019'!P45</f>
        <v>0</v>
      </c>
      <c r="D24" t="s">
        <v>81</v>
      </c>
      <c r="E24" s="37">
        <f>'1040 W4 PLANNER 2019'!P46</f>
        <v>0</v>
      </c>
      <c r="G24">
        <v>2</v>
      </c>
      <c r="H24" s="37">
        <f>'1040 W4 PLANNER 2019'!P21+'1040 W4 PLANNER 2019'!P22+'1040 W4 PLANNER 2019'!P23+'1040 W4 PLANNER 2019'!P24+'1040 W4 PLANNER 2019'!P25+'1040 W4 PLANNER 2019'!P26+'1040 W4 PLANNER 2019'!P27+'1040 W4 PLANNER 2019'!P28+'1040 W4 PLANNER 2019'!P29+'1040 W4 PLANNER 2019'!P30+'1040 W4 PLANNER 2019'!P40+'1040 W4 PLANNER 2019'!P41+'1040 W4 PLANNER 2019'!P42+'1040 W4 PLANNER 2019'!P45+'1040 W4 PLANNER 2019'!P46+'1040 W4 PLANNER 2019'!P49+'1040 W4 PLANNER 2019'!G48*0.85</f>
        <v>0</v>
      </c>
      <c r="I24" t="s">
        <v>96</v>
      </c>
      <c r="K24" s="115"/>
    </row>
    <row r="25" spans="1:13" x14ac:dyDescent="0.25">
      <c r="A25" t="s">
        <v>82</v>
      </c>
      <c r="B25" s="37">
        <v>0</v>
      </c>
      <c r="D25" t="s">
        <v>82</v>
      </c>
      <c r="E25" s="37">
        <v>0</v>
      </c>
      <c r="G25">
        <v>3</v>
      </c>
      <c r="H25" s="37">
        <f>'1040 W4 PLANNER 2019'!P52+'1040 W4 PLANNER 2019'!P53+'1040 W4 PLANNER 2019'!P54+'1040 W4 PLANNER 2019'!P55+'1040 W4 PLANNER 2019'!P56+'1040 W4 PLANNER 2019'!P57+'1040 W4 PLANNER 2019'!P58+'1040 W4 PLANNER 2019'!P59+'1040 W4 PLANNER 2019'!P60+'1040 W4 PLANNER 2019'!P61</f>
        <v>0</v>
      </c>
      <c r="K25" s="115"/>
    </row>
    <row r="26" spans="1:13" x14ac:dyDescent="0.25">
      <c r="A26">
        <v>2</v>
      </c>
      <c r="B26" s="37">
        <f>'1040 W4 PLANNER 2019'!P27</f>
        <v>0</v>
      </c>
      <c r="D26">
        <v>2</v>
      </c>
      <c r="E26" s="37">
        <f>'1040 W4 PLANNER 2019'!P28</f>
        <v>0</v>
      </c>
      <c r="G26">
        <v>4</v>
      </c>
      <c r="H26" s="37">
        <f>H24-H25</f>
        <v>0</v>
      </c>
      <c r="K26" s="115"/>
    </row>
    <row r="27" spans="1:13" x14ac:dyDescent="0.25">
      <c r="A27">
        <v>3</v>
      </c>
      <c r="B27" s="37">
        <f>SUM(B24:B26)</f>
        <v>0</v>
      </c>
      <c r="D27">
        <v>3</v>
      </c>
      <c r="E27" s="37">
        <f>SUM(E24:E26)</f>
        <v>0</v>
      </c>
      <c r="G27">
        <v>5</v>
      </c>
      <c r="H27" s="37">
        <f>+IF(D1=2,140000,70000)</f>
        <v>140000</v>
      </c>
      <c r="I27" t="s">
        <v>99</v>
      </c>
      <c r="K27" s="115"/>
    </row>
    <row r="28" spans="1:13" x14ac:dyDescent="0.25">
      <c r="A28">
        <v>4</v>
      </c>
      <c r="B28" s="37">
        <f>B27*0.9235</f>
        <v>0</v>
      </c>
      <c r="D28">
        <v>4</v>
      </c>
      <c r="E28" s="37">
        <f>E27*0.9235</f>
        <v>0</v>
      </c>
      <c r="G28">
        <v>6</v>
      </c>
      <c r="H28" s="37">
        <f>IF(H27&gt;H26,0,H26-H27)</f>
        <v>0</v>
      </c>
      <c r="I28" s="44" t="s">
        <v>98</v>
      </c>
      <c r="K28" s="115"/>
    </row>
    <row r="29" spans="1:13" x14ac:dyDescent="0.25">
      <c r="A29">
        <v>5</v>
      </c>
      <c r="B29" s="37">
        <f>IF(B28&lt;400,0,B28)</f>
        <v>0</v>
      </c>
      <c r="D29">
        <v>5</v>
      </c>
      <c r="E29" s="37">
        <f>IF(E28&lt;400,0,E28)</f>
        <v>0</v>
      </c>
      <c r="G29">
        <v>7</v>
      </c>
      <c r="H29" s="46">
        <f>IF(D1=1,H28/15000,H28/30000)</f>
        <v>0</v>
      </c>
      <c r="I29" t="s">
        <v>226</v>
      </c>
      <c r="K29" s="134"/>
    </row>
    <row r="30" spans="1:13" x14ac:dyDescent="0.25">
      <c r="A30">
        <v>6</v>
      </c>
      <c r="B30" s="37">
        <f>B29</f>
        <v>0</v>
      </c>
      <c r="D30">
        <v>6</v>
      </c>
      <c r="E30" s="37">
        <f>E29</f>
        <v>0</v>
      </c>
      <c r="G30">
        <v>7</v>
      </c>
      <c r="H30">
        <f>IF(H29&gt;1,1,H29)</f>
        <v>0</v>
      </c>
      <c r="K30" s="134"/>
    </row>
    <row r="31" spans="1:13" x14ac:dyDescent="0.25">
      <c r="A31">
        <v>7</v>
      </c>
      <c r="B31" s="37">
        <v>132900</v>
      </c>
      <c r="D31">
        <v>7</v>
      </c>
      <c r="E31" s="37">
        <v>132900</v>
      </c>
      <c r="G31">
        <v>7</v>
      </c>
      <c r="H31" s="46">
        <f>ROUND(H30,3)</f>
        <v>0</v>
      </c>
      <c r="I31" t="s">
        <v>97</v>
      </c>
    </row>
    <row r="32" spans="1:13" x14ac:dyDescent="0.25">
      <c r="A32">
        <v>8</v>
      </c>
      <c r="B32" s="115">
        <f>'1040 W4 PLANNER 2019'!J27</f>
        <v>0</v>
      </c>
      <c r="D32">
        <v>8</v>
      </c>
      <c r="E32" s="134">
        <f>'1040 W4 PLANNER 2019'!J28</f>
        <v>0</v>
      </c>
      <c r="G32">
        <v>8</v>
      </c>
      <c r="H32" s="37">
        <f>H31*H23</f>
        <v>0</v>
      </c>
      <c r="I32" s="44" t="s">
        <v>101</v>
      </c>
    </row>
    <row r="33" spans="1:9" x14ac:dyDescent="0.25">
      <c r="A33">
        <v>9</v>
      </c>
      <c r="B33" s="37">
        <f>IF(B31&gt;B32,(B31-B32),0)</f>
        <v>132900</v>
      </c>
      <c r="D33">
        <v>9</v>
      </c>
      <c r="E33" s="134">
        <f>IF(E31&gt;E32,(E31-E32),0)</f>
        <v>132900</v>
      </c>
      <c r="G33">
        <v>9</v>
      </c>
      <c r="H33" s="32">
        <f>H23-H32</f>
        <v>0</v>
      </c>
      <c r="I33" s="44" t="s">
        <v>102</v>
      </c>
    </row>
    <row r="34" spans="1:9" x14ac:dyDescent="0.25">
      <c r="A34">
        <v>10</v>
      </c>
      <c r="B34" s="37">
        <f>IF(B33&gt;B30,B30*0.124,B33*0.124)</f>
        <v>0</v>
      </c>
      <c r="D34">
        <v>10</v>
      </c>
      <c r="E34" s="37">
        <f>IF(E33&gt;E30,E30*0.124,E33*0.124)</f>
        <v>0</v>
      </c>
      <c r="H34" s="96">
        <f>IF(H33&gt;2500,2500,H33)</f>
        <v>0</v>
      </c>
    </row>
    <row r="35" spans="1:9" x14ac:dyDescent="0.25">
      <c r="A35">
        <v>11</v>
      </c>
      <c r="B35" s="37">
        <f>B30*0.029</f>
        <v>0</v>
      </c>
      <c r="D35">
        <v>11</v>
      </c>
      <c r="E35" s="37">
        <f>E30*0.029</f>
        <v>0</v>
      </c>
    </row>
    <row r="36" spans="1:9" x14ac:dyDescent="0.25">
      <c r="A36">
        <v>12</v>
      </c>
      <c r="B36" s="37">
        <f>SUM(B34:B35)</f>
        <v>0</v>
      </c>
      <c r="D36">
        <v>12</v>
      </c>
      <c r="E36" s="37">
        <f>SUM(E34:E35)</f>
        <v>0</v>
      </c>
    </row>
    <row r="37" spans="1:9" x14ac:dyDescent="0.25">
      <c r="A37">
        <v>13</v>
      </c>
      <c r="B37" s="37">
        <f>B34*0.5+0.5*B35</f>
        <v>0</v>
      </c>
      <c r="D37">
        <v>13</v>
      </c>
      <c r="E37" s="37">
        <f>E34*0.5+0.5*E35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58"/>
  <sheetViews>
    <sheetView topLeftCell="A25" workbookViewId="0">
      <selection activeCell="A17" sqref="A17"/>
    </sheetView>
  </sheetViews>
  <sheetFormatPr defaultRowHeight="15" x14ac:dyDescent="0.25"/>
  <cols>
    <col min="1" max="1" width="17.5703125" customWidth="1"/>
    <col min="2" max="2" width="12.7109375" bestFit="1" customWidth="1"/>
    <col min="3" max="3" width="23.42578125" customWidth="1"/>
    <col min="4" max="4" width="10.5703125" bestFit="1" customWidth="1"/>
    <col min="6" max="6" width="10.5703125" bestFit="1" customWidth="1"/>
    <col min="7" max="7" width="11.5703125" bestFit="1" customWidth="1"/>
  </cols>
  <sheetData>
    <row r="1" spans="1:9" x14ac:dyDescent="0.25">
      <c r="B1" s="19" t="s">
        <v>105</v>
      </c>
      <c r="C1" t="s">
        <v>325</v>
      </c>
      <c r="D1">
        <f>'1040 W4 PLANNER 2019'!N8</f>
        <v>2</v>
      </c>
      <c r="E1" t="s">
        <v>26</v>
      </c>
      <c r="G1" s="120" t="s">
        <v>386</v>
      </c>
      <c r="I1" t="s">
        <v>322</v>
      </c>
    </row>
    <row r="2" spans="1:9" x14ac:dyDescent="0.25">
      <c r="A2" t="s">
        <v>104</v>
      </c>
      <c r="B2" s="47">
        <f>B15</f>
        <v>0</v>
      </c>
      <c r="F2" t="s">
        <v>382</v>
      </c>
      <c r="G2" t="s">
        <v>383</v>
      </c>
      <c r="I2" t="e">
        <f>IF('1040 W4 PLANNER 2019'!I24:J24&gt;'1040 W4 PLANNER 2019'!E24:F24,'1040 W4 PLANNER 2019'!E24:F24,'1040 W4 PLANNER 2019'!I24:J24)</f>
        <v>#VALUE!</v>
      </c>
    </row>
    <row r="3" spans="1:9" x14ac:dyDescent="0.25">
      <c r="B3" t="s">
        <v>103</v>
      </c>
      <c r="C3" s="115">
        <f>IF(F3&gt;G3,F3,G3)</f>
        <v>0</v>
      </c>
      <c r="F3" s="47">
        <f>IF(B2&lt;9700,B2*0.1,IF(B2&lt;39475,((B2-9700)*0.12)+970,IF(B2&lt;84200,((B2-39475)*0.22)+4543,IF(B2&lt;160725,((B2-84200)*0.24)+14382.5,IF(B2&lt;204100,((B2-160725)*0.32)+32748.5,IF((B2&lt;510300),((B2-204100)*0.35)+46628.5,(B2-510300)*0.37+153798.5))))))</f>
        <v>0</v>
      </c>
      <c r="G3" s="115"/>
    </row>
    <row r="4" spans="1:9" x14ac:dyDescent="0.25">
      <c r="B4" t="s">
        <v>107</v>
      </c>
      <c r="C4" s="115">
        <f>IF(F4&gt;G4,F4,G4)</f>
        <v>0</v>
      </c>
      <c r="F4" s="47">
        <f>IF(B2&lt;19400,B2*0.1,IF(B2&lt;78950,((B2-19400)*0.12)+1940,IF(B2&lt;168400,((B2-78950)*0.22)+9086,IF(B2&lt;321450,((B2-168400)*0.24)+28765,IF(B2&lt;408200,((B2-321450)*0.32)+65497,IF(B2&lt;612350,((B2-408200)*0.35)+93257,(B2-612350)*0.37)+164709.5)))))</f>
        <v>0</v>
      </c>
      <c r="G4" s="115"/>
    </row>
    <row r="5" spans="1:9" x14ac:dyDescent="0.25">
      <c r="B5" t="s">
        <v>108</v>
      </c>
      <c r="C5" s="115">
        <f>IF(F5&gt;G5,F5,G5)</f>
        <v>0</v>
      </c>
      <c r="F5" s="115">
        <f>IF(B2&lt;9700,B2*0.1,IF(B2&lt;39475,((B2-9700)*0.12)+970,IF(B2&lt;84200,((B2-39475)*0.22)+4543,IF(B2&lt;160725,((B2-84200)*0.24)+14382.5,IF(B2&lt;204100,((B2-160725)*0.32)+32748.5,IF((B2&lt;306175),((B2-204100)*0.35)+46628.5,(B2-306175)*0.37+82354.75))))))</f>
        <v>0</v>
      </c>
      <c r="G5" s="115"/>
    </row>
    <row r="6" spans="1:9" x14ac:dyDescent="0.25">
      <c r="B6" t="s">
        <v>109</v>
      </c>
      <c r="C6" s="115">
        <f>IF(F6&gt;G6,F6,G6)</f>
        <v>0</v>
      </c>
      <c r="F6" s="47">
        <f>IF(B2&lt;13850,B2*0.1,IF(B2&lt;52850,((B2-13850)*0.12)+1385,IF(B2&lt;84200,((B2-52850)*0.22)+6065,IF(B2&lt;160700,((B2-84200)*0.24)+12962,IF(B2&lt;204100,((B2-160700)*0.32)+31322,IF(B2&lt;510300,((B2-204100)*0.35)+45210,((B2-510300)*0.37+152380)))))))</f>
        <v>0</v>
      </c>
      <c r="G6" s="115"/>
    </row>
    <row r="7" spans="1:9" x14ac:dyDescent="0.25">
      <c r="C7" s="47"/>
    </row>
    <row r="8" spans="1:9" x14ac:dyDescent="0.25">
      <c r="B8" t="s">
        <v>110</v>
      </c>
      <c r="C8" s="47">
        <f>IF(D1=1,F3,IF(D1=2,F4,IF(D1=3,F5,IF(D1=4,F6,F4))))</f>
        <v>0</v>
      </c>
      <c r="F8" s="33"/>
    </row>
    <row r="9" spans="1:9" x14ac:dyDescent="0.25">
      <c r="B9" t="s">
        <v>113</v>
      </c>
      <c r="C9" s="47">
        <f>(B13+B14)*'1040 W4 PLANNER 2019'!I29</f>
        <v>0</v>
      </c>
      <c r="D9" t="s">
        <v>122</v>
      </c>
    </row>
    <row r="10" spans="1:9" x14ac:dyDescent="0.25">
      <c r="B10" t="s">
        <v>116</v>
      </c>
      <c r="C10" s="47">
        <f>SUM(C8:C9)</f>
        <v>0</v>
      </c>
      <c r="D10" s="52">
        <f>ROUND(C11,0)</f>
        <v>0</v>
      </c>
    </row>
    <row r="11" spans="1:9" x14ac:dyDescent="0.25">
      <c r="B11" t="s">
        <v>151</v>
      </c>
      <c r="C11">
        <f>IF(C10&lt;0,0,C10)</f>
        <v>0</v>
      </c>
    </row>
    <row r="12" spans="1:9" x14ac:dyDescent="0.25">
      <c r="A12" t="s">
        <v>104</v>
      </c>
      <c r="B12" s="47">
        <f>'1040 W4 PLANNER 2019'!P85</f>
        <v>0</v>
      </c>
    </row>
    <row r="13" spans="1:9" x14ac:dyDescent="0.25">
      <c r="A13" t="s">
        <v>111</v>
      </c>
      <c r="B13" s="47">
        <f>'1040 W4 PLANNER 2019'!E29</f>
        <v>0</v>
      </c>
      <c r="C13" t="s">
        <v>324</v>
      </c>
    </row>
    <row r="14" spans="1:9" x14ac:dyDescent="0.25">
      <c r="A14" t="s">
        <v>115</v>
      </c>
      <c r="B14" s="47">
        <f>IF(C14&gt;'1040 W4 PLANNER 2019'!E24,'1040 W4 PLANNER 2019'!E24,C14)</f>
        <v>0</v>
      </c>
      <c r="C14" s="115">
        <f>'1040 W4 PLANNER 2019'!I24</f>
        <v>0</v>
      </c>
    </row>
    <row r="15" spans="1:9" x14ac:dyDescent="0.25">
      <c r="A15" t="s">
        <v>112</v>
      </c>
      <c r="B15" s="32">
        <f>B12-B13-B14</f>
        <v>0</v>
      </c>
      <c r="C15" s="32" t="s">
        <v>26</v>
      </c>
    </row>
    <row r="16" spans="1:9" x14ac:dyDescent="0.25">
      <c r="A16" s="51">
        <v>2019</v>
      </c>
    </row>
    <row r="17" spans="1:9" x14ac:dyDescent="0.25">
      <c r="A17" t="s">
        <v>121</v>
      </c>
    </row>
    <row r="18" spans="1:9" x14ac:dyDescent="0.25">
      <c r="A18">
        <v>3</v>
      </c>
      <c r="B18" s="47">
        <f>H23</f>
        <v>0</v>
      </c>
      <c r="C18" t="s">
        <v>124</v>
      </c>
      <c r="F18" t="s">
        <v>340</v>
      </c>
      <c r="H18">
        <f>'1040 W4 PLANNER 2019'!G92</f>
        <v>0</v>
      </c>
    </row>
    <row r="19" spans="1:9" x14ac:dyDescent="0.25">
      <c r="A19">
        <v>4</v>
      </c>
      <c r="B19" s="47">
        <f>'1040 W4 PLANNER 2019'!P21+'1040 W4 PLANNER 2019'!P45+'1040 W4 PLANNER 2019'!P27</f>
        <v>0</v>
      </c>
      <c r="C19" t="s">
        <v>125</v>
      </c>
      <c r="D19">
        <f>'1040 W4 PLANNER 2019'!N8</f>
        <v>2</v>
      </c>
      <c r="H19">
        <f>'1040 W4 PLANNER 2019'!M92</f>
        <v>0</v>
      </c>
      <c r="I19" t="s">
        <v>124</v>
      </c>
    </row>
    <row r="20" spans="1:9" x14ac:dyDescent="0.25">
      <c r="A20">
        <v>5</v>
      </c>
      <c r="B20">
        <f>IF(D19=2,D20,B19)</f>
        <v>0</v>
      </c>
      <c r="C20" t="s">
        <v>126</v>
      </c>
      <c r="D20" s="83">
        <f>'1040 W4 PLANNER 2019'!P22+'1040 W4 PLANNER 2019'!P28+'1040 W4 PLANNER 2019'!P46</f>
        <v>0</v>
      </c>
      <c r="H20">
        <f>IF(H18=0,0,H19)</f>
        <v>0</v>
      </c>
      <c r="I20">
        <v>0</v>
      </c>
    </row>
    <row r="21" spans="1:9" x14ac:dyDescent="0.25">
      <c r="A21">
        <v>6</v>
      </c>
      <c r="B21" s="47">
        <f>MIN(B18,B19,B20)</f>
        <v>0</v>
      </c>
      <c r="C21" t="s">
        <v>127</v>
      </c>
      <c r="E21" s="49" t="s">
        <v>26</v>
      </c>
      <c r="H21">
        <f>IF((H18=1)*(H19&gt;3000),3000,H19)</f>
        <v>0</v>
      </c>
      <c r="I21">
        <v>1</v>
      </c>
    </row>
    <row r="22" spans="1:9" x14ac:dyDescent="0.25">
      <c r="A22">
        <v>7</v>
      </c>
      <c r="B22" s="47">
        <f>'1040 W4 PLANNER 2019'!P66</f>
        <v>0</v>
      </c>
      <c r="C22" t="s">
        <v>128</v>
      </c>
      <c r="H22">
        <f>IF((H18=2)*(H19&gt;6000),6000,H19)</f>
        <v>0</v>
      </c>
      <c r="I22">
        <v>2</v>
      </c>
    </row>
    <row r="23" spans="1:9" x14ac:dyDescent="0.25">
      <c r="A23">
        <v>8</v>
      </c>
      <c r="B23">
        <f>LOOKUP(B22,{0,15001,17001,19001,21001,23001,25001,27001,29001,31001,33001,35001,37001,39001,41001,43001,45001,1000000},{0.35,0.34,0.33,0.32,0.31,0.3,0.29,0.28,0.27,0.26,0.25,0.24,0.23,0.22,0.21,0.2,0.2})</f>
        <v>0.35</v>
      </c>
      <c r="C23" t="s">
        <v>129</v>
      </c>
      <c r="H23">
        <f>MIN(H20,H21,H22)</f>
        <v>0</v>
      </c>
      <c r="I23" t="s">
        <v>339</v>
      </c>
    </row>
    <row r="24" spans="1:9" x14ac:dyDescent="0.25">
      <c r="A24">
        <v>9</v>
      </c>
      <c r="B24" s="47">
        <f>B23*B21</f>
        <v>0</v>
      </c>
      <c r="C24" t="s">
        <v>130</v>
      </c>
    </row>
    <row r="25" spans="1:9" x14ac:dyDescent="0.25">
      <c r="A25">
        <v>10</v>
      </c>
      <c r="B25" s="47">
        <f>'1040 W4 PLANNER 2019'!P89</f>
        <v>0</v>
      </c>
      <c r="C25" t="s">
        <v>131</v>
      </c>
    </row>
    <row r="26" spans="1:9" x14ac:dyDescent="0.25">
      <c r="A26">
        <v>11</v>
      </c>
      <c r="B26" s="47">
        <f>MIN(B24,B25)</f>
        <v>0</v>
      </c>
      <c r="C26" t="s">
        <v>132</v>
      </c>
    </row>
    <row r="27" spans="1:9" x14ac:dyDescent="0.25">
      <c r="B27">
        <f>IF(B22&lt;=0,0,B26)</f>
        <v>0</v>
      </c>
    </row>
    <row r="28" spans="1:9" x14ac:dyDescent="0.25">
      <c r="A28" t="s">
        <v>123</v>
      </c>
      <c r="B28" s="51">
        <v>2019</v>
      </c>
    </row>
    <row r="29" spans="1:9" x14ac:dyDescent="0.25">
      <c r="A29">
        <v>1</v>
      </c>
      <c r="B29" s="50">
        <f>'1040 W4 PLANNER 2019'!R4*2000</f>
        <v>0</v>
      </c>
      <c r="C29" t="s">
        <v>361</v>
      </c>
    </row>
    <row r="30" spans="1:9" x14ac:dyDescent="0.25">
      <c r="B30" s="115">
        <f>'1040 W4 PLANNER 2019'!R5*500</f>
        <v>0</v>
      </c>
      <c r="C30" t="s">
        <v>362</v>
      </c>
    </row>
    <row r="31" spans="1:9" x14ac:dyDescent="0.25">
      <c r="B31" s="115">
        <f>B29+B30</f>
        <v>0</v>
      </c>
      <c r="C31" t="s">
        <v>182</v>
      </c>
    </row>
    <row r="32" spans="1:9" x14ac:dyDescent="0.25">
      <c r="A32">
        <v>2</v>
      </c>
      <c r="B32" s="50">
        <f>'1040 W4 PLANNER 2019'!P66</f>
        <v>0</v>
      </c>
      <c r="C32" t="s">
        <v>133</v>
      </c>
    </row>
    <row r="33" spans="1:3" x14ac:dyDescent="0.25">
      <c r="A33">
        <v>3</v>
      </c>
      <c r="B33" s="50">
        <f>IF(D1=2,400000,200000)</f>
        <v>400000</v>
      </c>
      <c r="C33" t="s">
        <v>134</v>
      </c>
    </row>
    <row r="34" spans="1:3" x14ac:dyDescent="0.25">
      <c r="A34">
        <v>4</v>
      </c>
      <c r="B34" s="50">
        <f>IF(B32&gt;B33,B32-B33,0)</f>
        <v>0</v>
      </c>
      <c r="C34" t="s">
        <v>135</v>
      </c>
    </row>
    <row r="35" spans="1:3" x14ac:dyDescent="0.25">
      <c r="B35" s="50">
        <f>ROUND(B34/1000,0)*1000</f>
        <v>0</v>
      </c>
      <c r="C35" t="s">
        <v>136</v>
      </c>
    </row>
    <row r="36" spans="1:3" x14ac:dyDescent="0.25">
      <c r="A36">
        <v>5</v>
      </c>
      <c r="B36" s="50">
        <f>B35*0.05</f>
        <v>0</v>
      </c>
      <c r="C36" t="s">
        <v>137</v>
      </c>
    </row>
    <row r="37" spans="1:3" x14ac:dyDescent="0.25">
      <c r="A37">
        <v>6</v>
      </c>
      <c r="B37" s="50">
        <f>IF(B36&gt;B31,0,B31-B36)</f>
        <v>0</v>
      </c>
      <c r="C37" t="s">
        <v>138</v>
      </c>
    </row>
    <row r="38" spans="1:3" x14ac:dyDescent="0.25">
      <c r="A38">
        <v>7</v>
      </c>
      <c r="B38" s="50">
        <f>'1040 W4 PLANNER 2019'!P89</f>
        <v>0</v>
      </c>
      <c r="C38" t="s">
        <v>139</v>
      </c>
    </row>
    <row r="39" spans="1:3" x14ac:dyDescent="0.25">
      <c r="A39">
        <v>8</v>
      </c>
      <c r="B39" s="50">
        <f>SUM('1040 W4 PLANNER 2019'!P91:R94)</f>
        <v>0</v>
      </c>
      <c r="C39" t="s">
        <v>140</v>
      </c>
    </row>
    <row r="40" spans="1:3" x14ac:dyDescent="0.25">
      <c r="A40">
        <v>9</v>
      </c>
      <c r="B40" s="50">
        <f>B38-B39</f>
        <v>0</v>
      </c>
      <c r="C40" t="s">
        <v>141</v>
      </c>
    </row>
    <row r="41" spans="1:3" x14ac:dyDescent="0.25">
      <c r="A41">
        <v>10</v>
      </c>
      <c r="B41" s="50">
        <f>MIN(B37,B40)</f>
        <v>0</v>
      </c>
      <c r="C41" t="s">
        <v>142</v>
      </c>
    </row>
    <row r="42" spans="1:3" x14ac:dyDescent="0.25">
      <c r="A42" t="s">
        <v>151</v>
      </c>
      <c r="B42" s="50">
        <f>IF(B41&lt;0,0,B41)</f>
        <v>0</v>
      </c>
    </row>
    <row r="43" spans="1:3" x14ac:dyDescent="0.25">
      <c r="A43" s="51">
        <v>2019</v>
      </c>
      <c r="B43" s="50"/>
    </row>
    <row r="44" spans="1:3" x14ac:dyDescent="0.25">
      <c r="A44" t="s">
        <v>186</v>
      </c>
      <c r="B44" s="50"/>
    </row>
    <row r="45" spans="1:3" x14ac:dyDescent="0.25">
      <c r="A45">
        <v>1</v>
      </c>
      <c r="B45" s="64">
        <f>B29</f>
        <v>0</v>
      </c>
      <c r="C45" t="s">
        <v>363</v>
      </c>
    </row>
    <row r="46" spans="1:3" x14ac:dyDescent="0.25">
      <c r="A46">
        <v>2</v>
      </c>
      <c r="B46" s="50">
        <f>MIN(B45,D10)</f>
        <v>0</v>
      </c>
      <c r="C46" t="s">
        <v>183</v>
      </c>
    </row>
    <row r="47" spans="1:3" x14ac:dyDescent="0.25">
      <c r="A47">
        <v>3</v>
      </c>
      <c r="B47" s="50">
        <f>IF(B45&gt;B46,B45-B46,0)</f>
        <v>0</v>
      </c>
      <c r="C47" t="s">
        <v>184</v>
      </c>
    </row>
    <row r="48" spans="1:3" x14ac:dyDescent="0.25">
      <c r="A48" t="s">
        <v>26</v>
      </c>
      <c r="B48" s="50">
        <f>'1040 W4 PLANNER 2019'!R4*1400</f>
        <v>0</v>
      </c>
      <c r="C48" t="s">
        <v>343</v>
      </c>
    </row>
    <row r="49" spans="1:5" x14ac:dyDescent="0.25">
      <c r="B49" s="64">
        <f>IF(B47&lt;B48,B47,B48)</f>
        <v>0</v>
      </c>
      <c r="C49" t="s">
        <v>344</v>
      </c>
    </row>
    <row r="50" spans="1:5" x14ac:dyDescent="0.25">
      <c r="B50" s="32"/>
    </row>
    <row r="52" spans="1:5" x14ac:dyDescent="0.25">
      <c r="B52" s="32"/>
    </row>
    <row r="53" spans="1:5" x14ac:dyDescent="0.25">
      <c r="A53" s="43"/>
      <c r="B53" s="32"/>
      <c r="E53" s="51"/>
    </row>
    <row r="55" spans="1:5" x14ac:dyDescent="0.25">
      <c r="B55" s="32"/>
    </row>
    <row r="56" spans="1:5" x14ac:dyDescent="0.25">
      <c r="B56" s="32"/>
    </row>
    <row r="57" spans="1:5" x14ac:dyDescent="0.25">
      <c r="B57" s="32"/>
    </row>
    <row r="58" spans="1:5" x14ac:dyDescent="0.25">
      <c r="B58" s="64"/>
    </row>
  </sheetData>
  <dataValidations disablePrompts="1" count="1">
    <dataValidation type="whole" allowBlank="1" showInputMessage="1" showErrorMessage="1" error="Enter a number between 0 and 2_x000a_" prompt="Enter a number between 0 and 2" sqref="H18" xr:uid="{00000000-0002-0000-0400-000000000000}">
      <formula1>0</formula1>
      <formula2>2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K43"/>
  <sheetViews>
    <sheetView workbookViewId="0">
      <selection activeCell="C37" sqref="C37"/>
    </sheetView>
  </sheetViews>
  <sheetFormatPr defaultRowHeight="15" x14ac:dyDescent="0.25"/>
  <cols>
    <col min="1" max="1" width="7.28515625" customWidth="1"/>
    <col min="2" max="2" width="13.85546875" customWidth="1"/>
    <col min="4" max="4" width="9.5703125" bestFit="1" customWidth="1"/>
    <col min="6" max="6" width="10.28515625" bestFit="1" customWidth="1"/>
    <col min="8" max="8" width="11.5703125" bestFit="1" customWidth="1"/>
  </cols>
  <sheetData>
    <row r="1" spans="1:11" x14ac:dyDescent="0.25">
      <c r="A1" t="s">
        <v>143</v>
      </c>
      <c r="D1" t="s">
        <v>63</v>
      </c>
      <c r="E1" s="51">
        <f>'1040 W4 PLANNER 2019'!N8</f>
        <v>2</v>
      </c>
      <c r="G1" t="s">
        <v>145</v>
      </c>
      <c r="I1" s="120" t="s">
        <v>389</v>
      </c>
      <c r="J1" s="51"/>
    </row>
    <row r="2" spans="1:11" x14ac:dyDescent="0.25">
      <c r="H2" s="51">
        <f>'1040 W4 PLANNER 2019'!I112</f>
        <v>0</v>
      </c>
    </row>
    <row r="3" spans="1:11" x14ac:dyDescent="0.25">
      <c r="A3">
        <v>1</v>
      </c>
      <c r="B3" s="55">
        <f>H11</f>
        <v>0</v>
      </c>
      <c r="C3" t="s">
        <v>144</v>
      </c>
    </row>
    <row r="4" spans="1:11" x14ac:dyDescent="0.25">
      <c r="A4">
        <v>2</v>
      </c>
      <c r="B4" s="60">
        <f>H35</f>
        <v>0</v>
      </c>
      <c r="C4" t="s">
        <v>161</v>
      </c>
      <c r="G4" t="s">
        <v>90</v>
      </c>
    </row>
    <row r="5" spans="1:11" x14ac:dyDescent="0.25">
      <c r="A5">
        <v>3</v>
      </c>
      <c r="B5" s="55">
        <f>'1040 W4 PLANNER 2019'!P66</f>
        <v>0</v>
      </c>
      <c r="C5" t="s">
        <v>133</v>
      </c>
      <c r="G5" t="s">
        <v>176</v>
      </c>
      <c r="H5" s="61">
        <f>'1040 W4 PLANNER 2019'!P21</f>
        <v>0</v>
      </c>
    </row>
    <row r="6" spans="1:11" x14ac:dyDescent="0.25">
      <c r="A6">
        <v>4</v>
      </c>
      <c r="B6" s="50">
        <f>IF(B5=B3,1,0)</f>
        <v>1</v>
      </c>
      <c r="C6" t="s">
        <v>165</v>
      </c>
      <c r="G6" t="s">
        <v>177</v>
      </c>
      <c r="H6" s="61">
        <f>'1040 W4 PLANNER 2019'!P22</f>
        <v>0</v>
      </c>
      <c r="I6" t="s">
        <v>26</v>
      </c>
    </row>
    <row r="7" spans="1:11" x14ac:dyDescent="0.25">
      <c r="A7" t="s">
        <v>146</v>
      </c>
      <c r="B7" s="50">
        <f>IF(E1=2,14200,8500)</f>
        <v>14200</v>
      </c>
      <c r="C7" t="s">
        <v>167</v>
      </c>
      <c r="G7" t="s">
        <v>178</v>
      </c>
      <c r="H7" s="61">
        <f>'1040 W4 PLANNER 2019'!P27</f>
        <v>0</v>
      </c>
    </row>
    <row r="8" spans="1:11" x14ac:dyDescent="0.25">
      <c r="A8" t="s">
        <v>147</v>
      </c>
      <c r="B8" s="50">
        <f>IF(E1=2,24350,18700)</f>
        <v>24350</v>
      </c>
      <c r="C8" t="s">
        <v>167</v>
      </c>
      <c r="G8" t="s">
        <v>179</v>
      </c>
      <c r="H8" s="61">
        <f>'1040 W4 PLANNER 2019'!P28</f>
        <v>0</v>
      </c>
      <c r="K8" t="s">
        <v>321</v>
      </c>
    </row>
    <row r="9" spans="1:11" x14ac:dyDescent="0.25">
      <c r="A9" t="s">
        <v>146</v>
      </c>
      <c r="B9" s="50" t="b">
        <f>AND(H2=0,B5&lt;B7)</f>
        <v>1</v>
      </c>
      <c r="G9" t="s">
        <v>180</v>
      </c>
      <c r="H9" s="61">
        <f>'1040 W4 PLANNER 2019'!P45</f>
        <v>0</v>
      </c>
      <c r="K9" t="s">
        <v>26</v>
      </c>
    </row>
    <row r="10" spans="1:11" x14ac:dyDescent="0.25">
      <c r="A10" t="s">
        <v>147</v>
      </c>
      <c r="B10" s="50" t="b">
        <f>IF(H2&gt;0,B8&gt;B5)</f>
        <v>0</v>
      </c>
      <c r="G10" t="s">
        <v>181</v>
      </c>
      <c r="H10" s="61">
        <f>'1040 W4 PLANNER 2019'!P46</f>
        <v>0</v>
      </c>
    </row>
    <row r="11" spans="1:11" x14ac:dyDescent="0.25">
      <c r="A11" t="s">
        <v>148</v>
      </c>
      <c r="B11" s="50" t="b">
        <f>OR(B10=TRUE,B9=TRUE)</f>
        <v>1</v>
      </c>
      <c r="C11" t="s">
        <v>171</v>
      </c>
      <c r="G11" t="s">
        <v>182</v>
      </c>
      <c r="H11" s="61">
        <f>SUM(H5:H10)</f>
        <v>0</v>
      </c>
    </row>
    <row r="12" spans="1:11" x14ac:dyDescent="0.25">
      <c r="B12" s="50"/>
    </row>
    <row r="13" spans="1:11" x14ac:dyDescent="0.25">
      <c r="A13" t="s">
        <v>163</v>
      </c>
      <c r="B13" s="60">
        <f>H22</f>
        <v>0</v>
      </c>
      <c r="C13" t="s">
        <v>162</v>
      </c>
      <c r="F13" t="s">
        <v>172</v>
      </c>
    </row>
    <row r="14" spans="1:11" x14ac:dyDescent="0.25">
      <c r="A14" t="s">
        <v>164</v>
      </c>
      <c r="B14" s="32">
        <f>IF(B6=1,B4,0)</f>
        <v>0</v>
      </c>
      <c r="C14" t="s">
        <v>166</v>
      </c>
      <c r="F14" t="b">
        <f>IF(B6=1,TRUE)</f>
        <v>1</v>
      </c>
    </row>
    <row r="15" spans="1:11" x14ac:dyDescent="0.25">
      <c r="A15" t="s">
        <v>168</v>
      </c>
      <c r="B15" s="50">
        <f>IF(B11=TRUE,B4,0)</f>
        <v>0</v>
      </c>
      <c r="C15" t="s">
        <v>169</v>
      </c>
      <c r="F15" s="32" t="b">
        <f>B11</f>
        <v>1</v>
      </c>
    </row>
    <row r="16" spans="1:11" x14ac:dyDescent="0.25">
      <c r="A16" t="s">
        <v>170</v>
      </c>
      <c r="B16" s="50">
        <f>MIN(B13,B4)</f>
        <v>0</v>
      </c>
      <c r="C16" t="s">
        <v>173</v>
      </c>
      <c r="F16" t="b">
        <f>NOT(B11)</f>
        <v>0</v>
      </c>
    </row>
    <row r="17" spans="1:8" x14ac:dyDescent="0.25">
      <c r="A17" t="s">
        <v>174</v>
      </c>
      <c r="B17" s="60">
        <f>IF(F14=TRUE,B14,IF(F15=TRUE,B15,B16))</f>
        <v>0</v>
      </c>
      <c r="C17" t="s">
        <v>175</v>
      </c>
    </row>
    <row r="18" spans="1:8" x14ac:dyDescent="0.25">
      <c r="B18" s="60"/>
    </row>
    <row r="19" spans="1:8" x14ac:dyDescent="0.25">
      <c r="A19" t="s">
        <v>128</v>
      </c>
      <c r="B19" s="50"/>
    </row>
    <row r="20" spans="1:8" x14ac:dyDescent="0.25">
      <c r="A20" t="s">
        <v>153</v>
      </c>
      <c r="B20" s="50"/>
    </row>
    <row r="21" spans="1:8" x14ac:dyDescent="0.25">
      <c r="A21" t="s">
        <v>149</v>
      </c>
      <c r="B21" s="50"/>
      <c r="C21" t="s">
        <v>152</v>
      </c>
      <c r="D21" t="s">
        <v>152</v>
      </c>
      <c r="E21" t="s">
        <v>154</v>
      </c>
      <c r="G21" t="s">
        <v>155</v>
      </c>
      <c r="H21" t="s">
        <v>97</v>
      </c>
    </row>
    <row r="22" spans="1:8" x14ac:dyDescent="0.25">
      <c r="A22">
        <v>0</v>
      </c>
      <c r="B22" s="50">
        <f>IF(B5&lt;6920,B5*0.0765,IF(B5&gt;15570,0,(15570-B5)*0.0765))</f>
        <v>0</v>
      </c>
      <c r="C22" t="b">
        <f>AND(B5&gt;6670,B5&lt;8340)</f>
        <v>0</v>
      </c>
      <c r="D22">
        <f>IF(C22=TRUE,510,B22)</f>
        <v>0</v>
      </c>
      <c r="E22">
        <f>IF(H2=0,D22,IF(H2=1,D23,IF(H2=2,D24,D25)))</f>
        <v>0</v>
      </c>
      <c r="G22">
        <f>IF(E1=2,E27,E22)</f>
        <v>0</v>
      </c>
      <c r="H22" s="55">
        <f>ROUND(G22,0)</f>
        <v>0</v>
      </c>
    </row>
    <row r="23" spans="1:8" x14ac:dyDescent="0.25">
      <c r="A23">
        <v>1</v>
      </c>
      <c r="B23" s="50">
        <f>IF(B5&lt;10370,B5*0.34,IF(B5&gt;41094,0,(41094-B5)*0.1598))</f>
        <v>0</v>
      </c>
      <c r="C23" t="b">
        <f>AND(B5&gt;10000,B5&lt;18340)</f>
        <v>0</v>
      </c>
      <c r="D23" s="53">
        <f>IF(C23=TRUE,3400,B23)</f>
        <v>0</v>
      </c>
    </row>
    <row r="24" spans="1:8" x14ac:dyDescent="0.25">
      <c r="A24">
        <v>2</v>
      </c>
      <c r="B24" s="50">
        <f>IF(B5&lt;14570,B5*0.4,IF(B5&gt;46703,0,(46703-B5)*0.2106))</f>
        <v>0</v>
      </c>
      <c r="C24" t="b">
        <f>AND(B5&gt;14040,B5&lt;18340)</f>
        <v>0</v>
      </c>
      <c r="D24">
        <f>IF(C24=TRUE,5616,B24)</f>
        <v>0</v>
      </c>
    </row>
    <row r="25" spans="1:8" x14ac:dyDescent="0.25">
      <c r="A25" s="54" t="s">
        <v>150</v>
      </c>
      <c r="B25" s="50">
        <f>IF(B5&lt;14570,B5*0.45,IF(B5&gt;50162,0,(50162-B5)*0.2106))</f>
        <v>0</v>
      </c>
      <c r="C25" t="b">
        <f>AND(B5&gt;14040,B5&lt;18340)</f>
        <v>0</v>
      </c>
      <c r="D25">
        <f>IF(C25=TRUE,6318,B25)</f>
        <v>0</v>
      </c>
    </row>
    <row r="26" spans="1:8" x14ac:dyDescent="0.25">
      <c r="A26" t="s">
        <v>107</v>
      </c>
      <c r="B26" s="50"/>
    </row>
    <row r="27" spans="1:8" x14ac:dyDescent="0.25">
      <c r="A27">
        <v>0</v>
      </c>
      <c r="B27" s="50">
        <f>IF(B5&lt;6920,B5*0.0765,IF(B5&gt;21370,0,(21370-B5)*0.0765))</f>
        <v>0</v>
      </c>
      <c r="C27" t="b">
        <f>AND(B5&gt;6670,B5&lt;13930)</f>
        <v>0</v>
      </c>
      <c r="D27">
        <f>IF(C27=TRUE,510,B27)</f>
        <v>0</v>
      </c>
      <c r="E27">
        <f>IF(H2=0,D27,IF(H2=1,D28,IF(H2=2,D29,D30)))</f>
        <v>0</v>
      </c>
    </row>
    <row r="28" spans="1:8" x14ac:dyDescent="0.25">
      <c r="A28">
        <v>1</v>
      </c>
      <c r="B28" s="50">
        <f>IF(B5&lt;10370,B5*0.34,IF(B5&gt;46884,0,(46884-B5)*0.1598))</f>
        <v>0</v>
      </c>
      <c r="C28" t="b">
        <f>AND(B5&gt;10000,B5&lt;23940)</f>
        <v>0</v>
      </c>
      <c r="D28" s="53">
        <f>IF(C28=TRUE,3400,B28)</f>
        <v>0</v>
      </c>
    </row>
    <row r="29" spans="1:8" x14ac:dyDescent="0.25">
      <c r="A29">
        <v>2</v>
      </c>
      <c r="B29" s="50">
        <f>IF(B5&lt;14570,B5*0.4,IF(B5&gt;52493,0,(52493-B5)*0.2106))</f>
        <v>0</v>
      </c>
      <c r="C29" t="b">
        <f>AND(B5&gt;14040,B5&lt;23930)</f>
        <v>0</v>
      </c>
      <c r="D29">
        <f>IF(C29=TRUE,5616,B29)</f>
        <v>0</v>
      </c>
    </row>
    <row r="30" spans="1:8" x14ac:dyDescent="0.25">
      <c r="A30" s="54" t="s">
        <v>150</v>
      </c>
      <c r="B30" s="50">
        <f>IF(B5&lt;14570,B5*0.45,IF(B5&gt;55952,0,(55952-B5)*0.2106))</f>
        <v>0</v>
      </c>
      <c r="C30" t="b">
        <f>AND(B5&gt;14040,B5&lt;23930)</f>
        <v>0</v>
      </c>
      <c r="D30">
        <f>IF(C30=TRUE,6318,B30)</f>
        <v>0</v>
      </c>
    </row>
    <row r="31" spans="1:8" x14ac:dyDescent="0.25">
      <c r="B31" s="50"/>
    </row>
    <row r="32" spans="1:8" x14ac:dyDescent="0.25">
      <c r="A32" t="s">
        <v>160</v>
      </c>
      <c r="B32" s="50"/>
    </row>
    <row r="33" spans="1:8" x14ac:dyDescent="0.25">
      <c r="A33" t="s">
        <v>144</v>
      </c>
      <c r="B33" s="50"/>
    </row>
    <row r="34" spans="1:8" x14ac:dyDescent="0.25">
      <c r="A34" t="s">
        <v>149</v>
      </c>
      <c r="B34" s="50"/>
      <c r="C34" t="s">
        <v>152</v>
      </c>
      <c r="D34" t="s">
        <v>152</v>
      </c>
      <c r="E34" t="s">
        <v>154</v>
      </c>
      <c r="G34" t="s">
        <v>155</v>
      </c>
      <c r="H34" t="s">
        <v>97</v>
      </c>
    </row>
    <row r="35" spans="1:8" x14ac:dyDescent="0.25">
      <c r="A35">
        <v>0</v>
      </c>
      <c r="B35" s="115">
        <f>IF(B3&lt;6920,B3*0.0765,IF(B3&gt;15570,0,(15570-B3)*0.0765))</f>
        <v>0</v>
      </c>
      <c r="C35" t="b">
        <f>AND(B3&gt;6670,B3&lt;8340)</f>
        <v>0</v>
      </c>
      <c r="D35">
        <f>IF(C35=TRUE,529,B35)</f>
        <v>0</v>
      </c>
      <c r="E35">
        <f>IF(H2=0,D35,IF(H2=1,D36,IF(H2=2,D37,D38)))</f>
        <v>0</v>
      </c>
      <c r="G35">
        <f>IF(E1=2,E40,E35)</f>
        <v>0</v>
      </c>
      <c r="H35" s="55">
        <f>ROUND(G35,0)</f>
        <v>0</v>
      </c>
    </row>
    <row r="36" spans="1:8" x14ac:dyDescent="0.25">
      <c r="A36">
        <v>1</v>
      </c>
      <c r="B36" s="115">
        <f>IF(B3&lt;10370,B3*0.34,IF(B3&gt;41094,0,(41094-B3)*0.1598))</f>
        <v>0</v>
      </c>
      <c r="C36" t="b">
        <f>AND(B18&gt;10000,B18&lt;18340)</f>
        <v>0</v>
      </c>
      <c r="D36" s="124">
        <f>IF(C36=TRUE,3526,B36)</f>
        <v>0</v>
      </c>
    </row>
    <row r="37" spans="1:8" x14ac:dyDescent="0.25">
      <c r="A37">
        <v>2</v>
      </c>
      <c r="B37" s="115">
        <f>IF(B3&lt;14570,B3*0.4,IF(B3&gt;46703,0,(46703-B3)*0.2106))</f>
        <v>0</v>
      </c>
      <c r="C37" t="b">
        <f>AND(B18&gt;14040,B18&lt;18340)</f>
        <v>0</v>
      </c>
      <c r="D37">
        <f>IF(C37=TRUE,5828,B37)</f>
        <v>0</v>
      </c>
    </row>
    <row r="38" spans="1:8" x14ac:dyDescent="0.25">
      <c r="A38" s="54" t="s">
        <v>150</v>
      </c>
      <c r="B38" s="115">
        <f>IF(B3&lt;14570,B3*0.45,IF(B3&gt;50162,0,(50162-B3)*0.2106))</f>
        <v>0</v>
      </c>
      <c r="C38" t="b">
        <f>AND(B18&gt;14040,B18&lt;18340)</f>
        <v>0</v>
      </c>
      <c r="D38">
        <f>IF(C38=TRUE,6557,B38)</f>
        <v>0</v>
      </c>
    </row>
    <row r="39" spans="1:8" x14ac:dyDescent="0.25">
      <c r="A39" t="s">
        <v>107</v>
      </c>
      <c r="B39" s="115"/>
    </row>
    <row r="40" spans="1:8" x14ac:dyDescent="0.25">
      <c r="A40">
        <v>0</v>
      </c>
      <c r="B40" s="115">
        <f>IF(B3&lt;6920,B3*0.0765,IF(B3&gt;21370,0,(21370-B3)*0.0765))</f>
        <v>0</v>
      </c>
      <c r="C40" t="b">
        <f>AND(B18&gt;6670,B18&lt;13930)</f>
        <v>0</v>
      </c>
      <c r="D40">
        <f>IF(C40=TRUE,529,B40)</f>
        <v>0</v>
      </c>
      <c r="E40">
        <f>IF(H2=0,D40,IF(H2=1,D41,IF(H2=2,D42,D43)))</f>
        <v>0</v>
      </c>
    </row>
    <row r="41" spans="1:8" x14ac:dyDescent="0.25">
      <c r="A41">
        <v>1</v>
      </c>
      <c r="B41" s="115">
        <f>IF(B3&lt;10370,B3*0.34,IF(B3&gt;46884,0,(46884-B3)*0.1598))</f>
        <v>0</v>
      </c>
      <c r="C41" t="b">
        <f>AND(B18&gt;10000,B18&lt;23940)</f>
        <v>0</v>
      </c>
      <c r="D41" s="124">
        <f>IF(C41=TRUE,3526,B41)</f>
        <v>0</v>
      </c>
    </row>
    <row r="42" spans="1:8" x14ac:dyDescent="0.25">
      <c r="A42">
        <v>2</v>
      </c>
      <c r="B42" s="115">
        <f>IF(B3&lt;14570,B3*0.4,IF(B3&gt;52493,0,(52493-B3)*0.2106))</f>
        <v>0</v>
      </c>
      <c r="C42" t="b">
        <f>AND(B18&gt;14040,B18&lt;23930)</f>
        <v>0</v>
      </c>
      <c r="D42">
        <f>IF(C42=TRUE,5828,B42)</f>
        <v>0</v>
      </c>
    </row>
    <row r="43" spans="1:8" x14ac:dyDescent="0.25">
      <c r="A43" s="54" t="s">
        <v>150</v>
      </c>
      <c r="B43" s="115">
        <f>IF(B3&lt;14570,B3*0.45,IF(B3&gt;55952,0,(55952-B3)*0.2106))</f>
        <v>0</v>
      </c>
      <c r="C43" t="b">
        <f>AND(B18&gt;14040,B18&lt;23930)</f>
        <v>0</v>
      </c>
      <c r="D43">
        <f>IF(C43=TRUE,6557,B43)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N34"/>
  <sheetViews>
    <sheetView workbookViewId="0">
      <selection activeCell="D13" sqref="D13"/>
    </sheetView>
  </sheetViews>
  <sheetFormatPr defaultRowHeight="15" x14ac:dyDescent="0.25"/>
  <cols>
    <col min="1" max="1" width="7.28515625" customWidth="1"/>
    <col min="2" max="2" width="33.5703125" customWidth="1"/>
    <col min="4" max="4" width="10.28515625" bestFit="1" customWidth="1"/>
    <col min="7" max="7" width="10.5703125" bestFit="1" customWidth="1"/>
    <col min="14" max="14" width="10.5703125" bestFit="1" customWidth="1"/>
  </cols>
  <sheetData>
    <row r="1" spans="1:14" x14ac:dyDescent="0.25">
      <c r="C1" s="51">
        <v>2019</v>
      </c>
    </row>
    <row r="3" spans="1:14" x14ac:dyDescent="0.25">
      <c r="F3" t="s">
        <v>221</v>
      </c>
      <c r="L3" t="s">
        <v>214</v>
      </c>
    </row>
    <row r="4" spans="1:14" x14ac:dyDescent="0.25">
      <c r="A4" t="s">
        <v>188</v>
      </c>
      <c r="B4" s="65" t="s">
        <v>189</v>
      </c>
      <c r="C4" s="66"/>
      <c r="D4" s="66"/>
      <c r="K4" t="s">
        <v>106</v>
      </c>
      <c r="L4">
        <f>D5</f>
        <v>2</v>
      </c>
    </row>
    <row r="5" spans="1:14" x14ac:dyDescent="0.25">
      <c r="A5" s="56">
        <v>1</v>
      </c>
      <c r="B5" s="2" t="s">
        <v>190</v>
      </c>
      <c r="C5" s="2"/>
      <c r="D5" s="75">
        <f>'1040 W4 PLANNER 2019'!N8</f>
        <v>2</v>
      </c>
      <c r="K5">
        <v>1</v>
      </c>
      <c r="L5">
        <f>IF(L$4=1,25000,0)</f>
        <v>0</v>
      </c>
    </row>
    <row r="6" spans="1:14" x14ac:dyDescent="0.25">
      <c r="A6" s="56">
        <v>2</v>
      </c>
      <c r="B6" s="2" t="s">
        <v>191</v>
      </c>
      <c r="C6" s="2"/>
      <c r="D6" s="75">
        <f>SUM('1040 W4 PLANNER 2019'!R4+'1040 W4 PLANNER 2019'!R5)</f>
        <v>0</v>
      </c>
      <c r="K6">
        <v>2</v>
      </c>
      <c r="L6">
        <f>IF(L$4=2,32000,0)</f>
        <v>32000</v>
      </c>
    </row>
    <row r="7" spans="1:14" x14ac:dyDescent="0.25">
      <c r="A7" s="56"/>
      <c r="B7" s="2" t="s">
        <v>192</v>
      </c>
      <c r="C7" s="2"/>
      <c r="D7" s="75">
        <f>'1040 W4 PLANNER 2019'!N4</f>
        <v>0</v>
      </c>
      <c r="K7">
        <v>3</v>
      </c>
      <c r="L7">
        <f>IF(L$4=3,16000,0)</f>
        <v>0</v>
      </c>
    </row>
    <row r="8" spans="1:14" x14ac:dyDescent="0.25">
      <c r="A8" s="56"/>
      <c r="B8" s="2" t="s">
        <v>193</v>
      </c>
      <c r="C8" s="2"/>
      <c r="D8" s="75">
        <f>'1040 W4 PLANNER 2019'!N5</f>
        <v>0</v>
      </c>
      <c r="K8">
        <v>4</v>
      </c>
      <c r="L8">
        <f>IF(L$4=4,32000,0)</f>
        <v>0</v>
      </c>
    </row>
    <row r="9" spans="1:14" x14ac:dyDescent="0.25">
      <c r="A9" s="56">
        <v>4</v>
      </c>
      <c r="B9" s="2" t="s">
        <v>194</v>
      </c>
      <c r="C9" s="67"/>
      <c r="D9" s="76">
        <f>'1040 W4 PLANNER 2019'!P66</f>
        <v>0</v>
      </c>
      <c r="K9">
        <v>5</v>
      </c>
      <c r="L9">
        <f>IF(L$4=5,32000,0)</f>
        <v>0</v>
      </c>
    </row>
    <row r="10" spans="1:14" x14ac:dyDescent="0.25">
      <c r="A10" s="56">
        <v>5</v>
      </c>
      <c r="B10" s="2" t="s">
        <v>195</v>
      </c>
      <c r="C10" s="67"/>
      <c r="D10" s="76">
        <f>'1040 W4 PLANNER 2019'!P142</f>
        <v>0</v>
      </c>
      <c r="L10" s="72">
        <f>SUM(L5:L9)</f>
        <v>32000</v>
      </c>
      <c r="N10" t="s">
        <v>125</v>
      </c>
    </row>
    <row r="11" spans="1:14" x14ac:dyDescent="0.25">
      <c r="A11" s="56">
        <v>6</v>
      </c>
      <c r="B11" s="2" t="s">
        <v>196</v>
      </c>
      <c r="C11" s="67"/>
      <c r="D11" s="76">
        <f>'1040 W4 PLANNER 2019'!P143+'1040 W4 PLANNER 2019'!P144</f>
        <v>0</v>
      </c>
      <c r="K11" t="s">
        <v>215</v>
      </c>
      <c r="L11" t="s">
        <v>26</v>
      </c>
      <c r="N11" s="80">
        <f>D9+D10</f>
        <v>0</v>
      </c>
    </row>
    <row r="12" spans="1:14" x14ac:dyDescent="0.25">
      <c r="A12" s="56">
        <v>7</v>
      </c>
      <c r="B12" s="2" t="s">
        <v>197</v>
      </c>
      <c r="C12" s="67"/>
      <c r="D12" s="67">
        <f>'1040 W4 PLANNER 2019'!P145</f>
        <v>0</v>
      </c>
      <c r="G12" t="s">
        <v>216</v>
      </c>
      <c r="H12" t="s">
        <v>217</v>
      </c>
      <c r="I12" s="44" t="s">
        <v>218</v>
      </c>
      <c r="J12" s="45">
        <v>0.06</v>
      </c>
      <c r="K12" t="s">
        <v>127</v>
      </c>
      <c r="L12" t="s">
        <v>26</v>
      </c>
      <c r="N12" s="81">
        <f>L10</f>
        <v>32000</v>
      </c>
    </row>
    <row r="13" spans="1:14" x14ac:dyDescent="0.25">
      <c r="A13" s="56">
        <v>8</v>
      </c>
      <c r="B13" s="2" t="s">
        <v>392</v>
      </c>
      <c r="C13" s="67"/>
      <c r="D13" s="67">
        <f>D12*0.0495</f>
        <v>0</v>
      </c>
      <c r="F13" t="s">
        <v>219</v>
      </c>
      <c r="G13">
        <f>D7</f>
        <v>0</v>
      </c>
      <c r="H13" s="32">
        <f>C27</f>
        <v>0</v>
      </c>
      <c r="I13">
        <f>IF(G13&gt;64,450,IF(G13&gt;54,288,0))</f>
        <v>0</v>
      </c>
      <c r="J13">
        <f>0.06*H13</f>
        <v>0</v>
      </c>
      <c r="K13">
        <f>IF(G13&gt;64,450,IF(I13&gt;J13,J13,I13))</f>
        <v>0</v>
      </c>
      <c r="N13" s="80">
        <f>IF(N12&lt;N11,N11-N12,0)</f>
        <v>0</v>
      </c>
    </row>
    <row r="14" spans="1:14" x14ac:dyDescent="0.25">
      <c r="A14" s="31"/>
      <c r="C14" s="64"/>
      <c r="D14" s="64"/>
      <c r="F14" t="s">
        <v>220</v>
      </c>
      <c r="G14">
        <f>D8</f>
        <v>0</v>
      </c>
      <c r="H14" s="32">
        <f>C28</f>
        <v>0</v>
      </c>
      <c r="I14">
        <f>IF(G14&gt;64,450,IF(G14&gt;54,288,0))</f>
        <v>0</v>
      </c>
      <c r="J14">
        <f>0.06*H14</f>
        <v>0</v>
      </c>
      <c r="K14">
        <f>IF(G14&gt;64,450,IF(I14&gt;J14,J14,I14))</f>
        <v>0</v>
      </c>
      <c r="N14" s="82">
        <f>ROUND(N13*0.025,0)</f>
        <v>0</v>
      </c>
    </row>
    <row r="15" spans="1:14" x14ac:dyDescent="0.25">
      <c r="A15" s="56">
        <v>9</v>
      </c>
      <c r="B15" s="2" t="s">
        <v>393</v>
      </c>
      <c r="C15" s="69">
        <f>565*D6</f>
        <v>0</v>
      </c>
      <c r="D15" s="67" t="s">
        <v>26</v>
      </c>
      <c r="J15" t="s">
        <v>182</v>
      </c>
      <c r="K15" s="74">
        <f>SUM(K13:K14)</f>
        <v>0</v>
      </c>
    </row>
    <row r="16" spans="1:14" x14ac:dyDescent="0.25">
      <c r="A16" s="56">
        <v>10</v>
      </c>
      <c r="B16" s="2" t="s">
        <v>198</v>
      </c>
      <c r="C16" s="76">
        <f>'1040 W4 PLANNER 2019'!P83</f>
        <v>24400</v>
      </c>
      <c r="D16" s="67"/>
      <c r="J16" t="s">
        <v>214</v>
      </c>
      <c r="K16" s="73">
        <f>N14</f>
        <v>0</v>
      </c>
    </row>
    <row r="17" spans="1:11" x14ac:dyDescent="0.25">
      <c r="A17" s="56">
        <v>11</v>
      </c>
      <c r="B17" s="2" t="s">
        <v>199</v>
      </c>
      <c r="C17" s="76">
        <f>'1040 W4 PLANNER 2019'!P72</f>
        <v>0</v>
      </c>
      <c r="D17" s="67"/>
      <c r="J17" t="s">
        <v>112</v>
      </c>
      <c r="K17">
        <f>IF(K15-K16&gt;0,K15-K16,0)</f>
        <v>0</v>
      </c>
    </row>
    <row r="18" spans="1:11" x14ac:dyDescent="0.25">
      <c r="A18" s="56">
        <v>12</v>
      </c>
      <c r="B18" s="2" t="s">
        <v>200</v>
      </c>
      <c r="C18" s="67">
        <f>C15+C16-C17</f>
        <v>24400</v>
      </c>
      <c r="D18" s="67"/>
      <c r="K18" s="32"/>
    </row>
    <row r="19" spans="1:11" x14ac:dyDescent="0.25">
      <c r="A19" s="56">
        <v>13</v>
      </c>
      <c r="B19" s="2" t="s">
        <v>201</v>
      </c>
      <c r="C19" s="67">
        <f>C18*0.06</f>
        <v>1464</v>
      </c>
      <c r="D19" s="67"/>
      <c r="K19" s="32"/>
    </row>
    <row r="20" spans="1:11" x14ac:dyDescent="0.25">
      <c r="A20" s="31"/>
      <c r="C20" s="64"/>
      <c r="D20" s="64"/>
      <c r="F20" t="s">
        <v>135</v>
      </c>
    </row>
    <row r="21" spans="1:11" x14ac:dyDescent="0.25">
      <c r="A21" s="56">
        <v>14</v>
      </c>
      <c r="B21" s="2" t="s">
        <v>202</v>
      </c>
      <c r="C21" s="67">
        <f>G27</f>
        <v>28512</v>
      </c>
      <c r="D21" s="67"/>
      <c r="F21" t="s">
        <v>106</v>
      </c>
      <c r="G21">
        <f>D5</f>
        <v>2</v>
      </c>
    </row>
    <row r="22" spans="1:11" x14ac:dyDescent="0.25">
      <c r="A22" s="56">
        <v>15</v>
      </c>
      <c r="B22" s="2" t="s">
        <v>203</v>
      </c>
      <c r="C22" s="67">
        <f>IF(D12-C21&gt;0,D12-C21,0)</f>
        <v>0</v>
      </c>
      <c r="D22" s="67"/>
      <c r="F22">
        <v>1</v>
      </c>
      <c r="G22">
        <f>IF(G$21=1,14256,0)</f>
        <v>0</v>
      </c>
    </row>
    <row r="23" spans="1:11" x14ac:dyDescent="0.25">
      <c r="A23" s="56">
        <v>16</v>
      </c>
      <c r="B23" s="2" t="s">
        <v>204</v>
      </c>
      <c r="C23" s="67">
        <f>C22*0.013</f>
        <v>0</v>
      </c>
      <c r="D23" s="67"/>
      <c r="F23">
        <v>2</v>
      </c>
      <c r="G23">
        <f>IF(G$21=2,28512,0)</f>
        <v>28512</v>
      </c>
    </row>
    <row r="24" spans="1:11" x14ac:dyDescent="0.25">
      <c r="A24" s="56">
        <v>17</v>
      </c>
      <c r="B24" s="2" t="s">
        <v>205</v>
      </c>
      <c r="C24" s="67">
        <f>IF(C19-C23&gt;0,C19-C23,0)</f>
        <v>1464</v>
      </c>
      <c r="D24" s="67"/>
      <c r="F24">
        <v>3</v>
      </c>
      <c r="G24">
        <f>IF(G$21=3,14256,0)</f>
        <v>0</v>
      </c>
    </row>
    <row r="25" spans="1:11" x14ac:dyDescent="0.25">
      <c r="A25" s="56">
        <v>18</v>
      </c>
      <c r="B25" s="2" t="s">
        <v>206</v>
      </c>
      <c r="C25" s="67"/>
      <c r="D25" s="67">
        <f>IF(D13&gt;C24,D13-C24,0)</f>
        <v>0</v>
      </c>
      <c r="F25">
        <v>4</v>
      </c>
      <c r="G25">
        <f>IF(G$21=4,21384,0)</f>
        <v>0</v>
      </c>
    </row>
    <row r="26" spans="1:11" x14ac:dyDescent="0.25">
      <c r="A26" s="31"/>
      <c r="C26" s="64"/>
      <c r="D26" s="64"/>
      <c r="F26">
        <v>5</v>
      </c>
      <c r="G26">
        <f>IF(G$21=5,28512,0)</f>
        <v>0</v>
      </c>
    </row>
    <row r="27" spans="1:11" x14ac:dyDescent="0.25">
      <c r="A27" s="56"/>
      <c r="B27" s="2" t="s">
        <v>207</v>
      </c>
      <c r="C27" s="68">
        <f>'1040 W4 PLANNER 2019'!P40</f>
        <v>0</v>
      </c>
      <c r="D27" s="2"/>
      <c r="G27" s="83">
        <f>SUM(G22:G26)</f>
        <v>28512</v>
      </c>
    </row>
    <row r="28" spans="1:11" x14ac:dyDescent="0.25">
      <c r="A28" s="56"/>
      <c r="B28" s="2" t="s">
        <v>208</v>
      </c>
      <c r="C28" s="68">
        <f>'1040 W4 PLANNER 2019'!P41</f>
        <v>0</v>
      </c>
      <c r="D28" s="2"/>
    </row>
    <row r="29" spans="1:11" x14ac:dyDescent="0.25">
      <c r="A29" s="31"/>
      <c r="C29" s="64"/>
      <c r="D29" s="64"/>
    </row>
    <row r="30" spans="1:11" x14ac:dyDescent="0.25">
      <c r="A30" s="56">
        <v>21</v>
      </c>
      <c r="B30" s="2" t="s">
        <v>209</v>
      </c>
      <c r="C30" s="67"/>
      <c r="D30" s="67">
        <f>K17</f>
        <v>0</v>
      </c>
    </row>
    <row r="31" spans="1:11" x14ac:dyDescent="0.25">
      <c r="A31" s="56">
        <v>22</v>
      </c>
      <c r="B31" s="2" t="s">
        <v>210</v>
      </c>
      <c r="C31" s="67"/>
      <c r="D31" s="84">
        <f>IF(D25-D30&gt;0,D25-D30,0)</f>
        <v>0</v>
      </c>
    </row>
    <row r="32" spans="1:11" x14ac:dyDescent="0.25">
      <c r="A32" s="56">
        <v>32</v>
      </c>
      <c r="B32" s="2" t="s">
        <v>211</v>
      </c>
      <c r="C32" s="68">
        <f>'1040 W4 PLANNER 2019'!P140</f>
        <v>0</v>
      </c>
      <c r="D32" s="2"/>
      <c r="G32">
        <f>4025*0.75</f>
        <v>3018.75</v>
      </c>
    </row>
    <row r="33" spans="1:4" x14ac:dyDescent="0.25">
      <c r="A33" s="56">
        <v>35</v>
      </c>
      <c r="B33" s="2" t="s">
        <v>212</v>
      </c>
      <c r="C33" s="67"/>
      <c r="D33" s="70">
        <f>IF(D31-C32&gt;0,D31-C32,0)</f>
        <v>0</v>
      </c>
    </row>
    <row r="34" spans="1:4" x14ac:dyDescent="0.25">
      <c r="A34" s="56">
        <v>36</v>
      </c>
      <c r="B34" s="2" t="s">
        <v>213</v>
      </c>
      <c r="C34" s="67"/>
      <c r="D34" s="71">
        <f>IF(C32-D31&gt;0,C32-D31,0)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X22"/>
  <sheetViews>
    <sheetView topLeftCell="B1" workbookViewId="0">
      <selection activeCell="U18" sqref="U18"/>
    </sheetView>
  </sheetViews>
  <sheetFormatPr defaultRowHeight="15" x14ac:dyDescent="0.25"/>
  <cols>
    <col min="1" max="1" width="5.85546875" bestFit="1" customWidth="1"/>
    <col min="2" max="2" width="28.7109375" customWidth="1"/>
    <col min="5" max="6" width="5.85546875" bestFit="1" customWidth="1"/>
    <col min="7" max="7" width="7" bestFit="1" customWidth="1"/>
    <col min="8" max="9" width="13.85546875" customWidth="1"/>
    <col min="10" max="10" width="12.140625" customWidth="1"/>
    <col min="11" max="11" width="12.28515625" customWidth="1"/>
    <col min="24" max="24" width="9.5703125" bestFit="1" customWidth="1"/>
  </cols>
  <sheetData>
    <row r="1" spans="1:24" x14ac:dyDescent="0.25">
      <c r="B1" t="s">
        <v>106</v>
      </c>
      <c r="C1">
        <f>'1040 W4 PLANNER 2019'!N8</f>
        <v>2</v>
      </c>
    </row>
    <row r="2" spans="1:24" ht="63.75" x14ac:dyDescent="0.25">
      <c r="A2" s="62" t="s">
        <v>7</v>
      </c>
      <c r="B2" s="62" t="s">
        <v>57</v>
      </c>
      <c r="C2" s="57" t="s">
        <v>156</v>
      </c>
      <c r="D2" s="57" t="s">
        <v>157</v>
      </c>
      <c r="E2" s="58" t="s">
        <v>158</v>
      </c>
      <c r="F2" s="58" t="s">
        <v>43</v>
      </c>
      <c r="G2" s="59" t="s">
        <v>159</v>
      </c>
      <c r="H2" s="63" t="s">
        <v>12</v>
      </c>
      <c r="I2" s="63" t="s">
        <v>225</v>
      </c>
      <c r="J2" s="63" t="s">
        <v>223</v>
      </c>
      <c r="K2" s="63" t="s">
        <v>224</v>
      </c>
      <c r="M2">
        <v>1</v>
      </c>
      <c r="N2">
        <v>2</v>
      </c>
      <c r="O2">
        <v>3</v>
      </c>
      <c r="P2">
        <v>4</v>
      </c>
      <c r="Q2">
        <v>4</v>
      </c>
      <c r="R2">
        <v>5</v>
      </c>
      <c r="S2">
        <v>6</v>
      </c>
      <c r="T2">
        <v>7</v>
      </c>
      <c r="U2" t="s">
        <v>395</v>
      </c>
      <c r="V2" t="s">
        <v>394</v>
      </c>
      <c r="W2" t="s">
        <v>396</v>
      </c>
      <c r="X2" t="s">
        <v>397</v>
      </c>
    </row>
    <row r="3" spans="1:24" x14ac:dyDescent="0.25">
      <c r="A3" s="90">
        <f>'1040 W4 PLANNER 2019'!A125</f>
        <v>0</v>
      </c>
      <c r="B3" s="91">
        <f>'1040 W4 PLANNER 2019'!B125:F125</f>
        <v>0</v>
      </c>
      <c r="C3" s="90">
        <f>'1040 W4 PLANNER 2019'!G125</f>
        <v>0</v>
      </c>
      <c r="D3" s="90">
        <f>'1040 W4 PLANNER 2019'!H125</f>
        <v>0</v>
      </c>
      <c r="E3" s="90">
        <f>'1040 W4 PLANNER 2019'!I125</f>
        <v>0</v>
      </c>
      <c r="F3" s="90">
        <f>'1040 W4 PLANNER 2019'!J125</f>
        <v>0</v>
      </c>
      <c r="G3" s="86">
        <f>'1040 W4 PLANNER 2019'!K125</f>
        <v>0</v>
      </c>
      <c r="H3" s="92">
        <f>'1040 W4 PLANNER 2019'!L125</f>
        <v>0</v>
      </c>
      <c r="I3" s="92">
        <f>H3*C3</f>
        <v>0</v>
      </c>
      <c r="J3" s="95">
        <f>W3</f>
        <v>0</v>
      </c>
      <c r="K3" s="95">
        <f>X3</f>
        <v>0</v>
      </c>
      <c r="M3" s="94">
        <f>I3</f>
        <v>0</v>
      </c>
      <c r="N3" s="94">
        <f>M3*0.0495</f>
        <v>0</v>
      </c>
      <c r="O3" s="94">
        <f>IF(E3="m",720,360)</f>
        <v>360</v>
      </c>
      <c r="P3" s="94">
        <f>IF(E3="m",14256,7128)</f>
        <v>7128</v>
      </c>
      <c r="Q3" s="94">
        <f>IF(M3-P3&lt;0,0,M3-P3)</f>
        <v>0</v>
      </c>
      <c r="R3" s="94">
        <f>Q3*0.013</f>
        <v>0</v>
      </c>
      <c r="S3" s="94">
        <f>IF(O3-R3&lt;0,0,O3-R3)</f>
        <v>360</v>
      </c>
      <c r="T3" s="94">
        <f>IF(N3-S3&lt;0,0,N3-S3)</f>
        <v>0</v>
      </c>
      <c r="U3" s="33">
        <f>IF(C3&gt;0,T3/C3,0)</f>
        <v>0</v>
      </c>
      <c r="V3" s="32">
        <f>G3</f>
        <v>0</v>
      </c>
      <c r="W3" s="33">
        <f>V3+U3</f>
        <v>0</v>
      </c>
      <c r="X3" s="33">
        <f>W3*D3</f>
        <v>0</v>
      </c>
    </row>
    <row r="4" spans="1:24" x14ac:dyDescent="0.25">
      <c r="A4" s="90">
        <f>'1040 W4 PLANNER 2019'!A126</f>
        <v>0</v>
      </c>
      <c r="B4" s="91">
        <f>'1040 W4 PLANNER 2019'!B126:F126</f>
        <v>0</v>
      </c>
      <c r="C4" s="90">
        <f>'1040 W4 PLANNER 2019'!G126</f>
        <v>0</v>
      </c>
      <c r="D4" s="90">
        <f>'1040 W4 PLANNER 2019'!H126</f>
        <v>0</v>
      </c>
      <c r="E4" s="90">
        <f>'1040 W4 PLANNER 2019'!I126</f>
        <v>0</v>
      </c>
      <c r="F4" s="90">
        <f>'1040 W4 PLANNER 2019'!J126</f>
        <v>0</v>
      </c>
      <c r="G4" s="86">
        <f>'1040 W4 PLANNER 2019'!K126</f>
        <v>0</v>
      </c>
      <c r="H4" s="92">
        <f>'1040 W4 PLANNER 2019'!L126</f>
        <v>0</v>
      </c>
      <c r="I4" s="92">
        <f t="shared" ref="I4:I10" si="0">H4*C4</f>
        <v>0</v>
      </c>
      <c r="J4" s="95">
        <f t="shared" ref="J4:J10" si="1">W4</f>
        <v>0</v>
      </c>
      <c r="K4" s="95">
        <f t="shared" ref="K4:K10" si="2">X4</f>
        <v>0</v>
      </c>
      <c r="M4" s="94">
        <f t="shared" ref="M4:M10" si="3">I4</f>
        <v>0</v>
      </c>
      <c r="N4" s="94">
        <f t="shared" ref="N4:N10" si="4">M4*0.0495</f>
        <v>0</v>
      </c>
      <c r="O4" s="94">
        <f t="shared" ref="O4:O10" si="5">IF(E4="m",720,360)</f>
        <v>360</v>
      </c>
      <c r="P4" s="94">
        <f t="shared" ref="P4:P10" si="6">IF(E4="m",14256,7128)</f>
        <v>7128</v>
      </c>
      <c r="Q4" s="94">
        <f t="shared" ref="Q4:Q10" si="7">IF(M4-P4&lt;0,0,M4-P4)</f>
        <v>0</v>
      </c>
      <c r="R4" s="94">
        <f t="shared" ref="R4:R10" si="8">Q4*0.013</f>
        <v>0</v>
      </c>
      <c r="S4" s="94">
        <f t="shared" ref="S4:S10" si="9">IF(O4-R4&lt;0,0,O4-R4)</f>
        <v>360</v>
      </c>
      <c r="T4" s="94">
        <f t="shared" ref="T4:T10" si="10">IF(N4-S4&lt;0,0,N4-S4)</f>
        <v>0</v>
      </c>
      <c r="U4" s="33">
        <f t="shared" ref="U4:U10" si="11">IF(C4&gt;0,T4/C4,0)</f>
        <v>0</v>
      </c>
      <c r="V4" s="32">
        <f t="shared" ref="V4:V10" si="12">G4</f>
        <v>0</v>
      </c>
      <c r="W4" s="33">
        <f t="shared" ref="W4:W10" si="13">V4+U4</f>
        <v>0</v>
      </c>
      <c r="X4" s="33">
        <f t="shared" ref="X4:X10" si="14">W4*D4</f>
        <v>0</v>
      </c>
    </row>
    <row r="5" spans="1:24" x14ac:dyDescent="0.25">
      <c r="A5" s="93">
        <f>'1040 W4 PLANNER 2019'!A127</f>
        <v>0</v>
      </c>
      <c r="B5" s="91">
        <f>'1040 W4 PLANNER 2019'!B127:F127</f>
        <v>0</v>
      </c>
      <c r="C5" s="93">
        <f>'1040 W4 PLANNER 2019'!G127</f>
        <v>0</v>
      </c>
      <c r="D5" s="93">
        <f>'1040 W4 PLANNER 2019'!H127</f>
        <v>0</v>
      </c>
      <c r="E5" s="93">
        <f>'1040 W4 PLANNER 2019'!I127</f>
        <v>0</v>
      </c>
      <c r="F5" s="93">
        <f>'1040 W4 PLANNER 2019'!J127</f>
        <v>0</v>
      </c>
      <c r="G5" s="93">
        <f>'1040 W4 PLANNER 2019'!K127</f>
        <v>0</v>
      </c>
      <c r="H5" s="91">
        <f>'1040 W4 PLANNER 2019'!L127</f>
        <v>0</v>
      </c>
      <c r="I5" s="92">
        <f t="shared" si="0"/>
        <v>0</v>
      </c>
      <c r="J5" s="95">
        <f t="shared" si="1"/>
        <v>0</v>
      </c>
      <c r="K5" s="95">
        <f t="shared" si="2"/>
        <v>0</v>
      </c>
      <c r="M5" s="94">
        <f t="shared" si="3"/>
        <v>0</v>
      </c>
      <c r="N5" s="94">
        <f t="shared" si="4"/>
        <v>0</v>
      </c>
      <c r="O5" s="94">
        <f t="shared" si="5"/>
        <v>360</v>
      </c>
      <c r="P5" s="94">
        <f t="shared" si="6"/>
        <v>7128</v>
      </c>
      <c r="Q5" s="94">
        <f t="shared" si="7"/>
        <v>0</v>
      </c>
      <c r="R5" s="94">
        <f t="shared" si="8"/>
        <v>0</v>
      </c>
      <c r="S5" s="94">
        <f t="shared" si="9"/>
        <v>360</v>
      </c>
      <c r="T5" s="94">
        <f t="shared" si="10"/>
        <v>0</v>
      </c>
      <c r="U5" s="33">
        <f t="shared" si="11"/>
        <v>0</v>
      </c>
      <c r="V5" s="32">
        <f t="shared" si="12"/>
        <v>0</v>
      </c>
      <c r="W5" s="33">
        <f t="shared" si="13"/>
        <v>0</v>
      </c>
      <c r="X5" s="33">
        <f t="shared" si="14"/>
        <v>0</v>
      </c>
    </row>
    <row r="6" spans="1:24" x14ac:dyDescent="0.25">
      <c r="A6" s="93">
        <f>'1040 W4 PLANNER 2019'!A128</f>
        <v>0</v>
      </c>
      <c r="B6" s="91">
        <f>'1040 W4 PLANNER 2019'!B128:F128</f>
        <v>0</v>
      </c>
      <c r="C6" s="93">
        <f>'1040 W4 PLANNER 2019'!G128</f>
        <v>0</v>
      </c>
      <c r="D6" s="93">
        <f>'1040 W4 PLANNER 2019'!H128</f>
        <v>0</v>
      </c>
      <c r="E6" s="93">
        <f>'1040 W4 PLANNER 2019'!I128</f>
        <v>0</v>
      </c>
      <c r="F6" s="93">
        <f>'1040 W4 PLANNER 2019'!J128</f>
        <v>0</v>
      </c>
      <c r="G6" s="93">
        <f>'1040 W4 PLANNER 2019'!K128</f>
        <v>0</v>
      </c>
      <c r="H6" s="91">
        <f>'1040 W4 PLANNER 2019'!L128</f>
        <v>0</v>
      </c>
      <c r="I6" s="92">
        <f t="shared" si="0"/>
        <v>0</v>
      </c>
      <c r="J6" s="95">
        <f t="shared" si="1"/>
        <v>0</v>
      </c>
      <c r="K6" s="95">
        <f t="shared" si="2"/>
        <v>0</v>
      </c>
      <c r="M6" s="94">
        <f t="shared" si="3"/>
        <v>0</v>
      </c>
      <c r="N6" s="94">
        <f t="shared" si="4"/>
        <v>0</v>
      </c>
      <c r="O6" s="94">
        <f t="shared" si="5"/>
        <v>360</v>
      </c>
      <c r="P6" s="94">
        <f t="shared" si="6"/>
        <v>7128</v>
      </c>
      <c r="Q6" s="94">
        <f t="shared" si="7"/>
        <v>0</v>
      </c>
      <c r="R6" s="94">
        <f t="shared" si="8"/>
        <v>0</v>
      </c>
      <c r="S6" s="94">
        <f t="shared" si="9"/>
        <v>360</v>
      </c>
      <c r="T6" s="94">
        <f t="shared" si="10"/>
        <v>0</v>
      </c>
      <c r="U6" s="33">
        <f t="shared" si="11"/>
        <v>0</v>
      </c>
      <c r="V6" s="32">
        <f t="shared" si="12"/>
        <v>0</v>
      </c>
      <c r="W6" s="33">
        <f t="shared" si="13"/>
        <v>0</v>
      </c>
      <c r="X6" s="33">
        <f t="shared" si="14"/>
        <v>0</v>
      </c>
    </row>
    <row r="7" spans="1:24" x14ac:dyDescent="0.25">
      <c r="A7" s="93">
        <f>'1040 W4 PLANNER 2019'!A129</f>
        <v>0</v>
      </c>
      <c r="B7" s="91" t="str">
        <f>'1040 W4 PLANNER 2019'!B129:F129</f>
        <v xml:space="preserve"> </v>
      </c>
      <c r="C7" s="93">
        <f>'1040 W4 PLANNER 2019'!G129</f>
        <v>0</v>
      </c>
      <c r="D7" s="93">
        <f>'1040 W4 PLANNER 2019'!H129</f>
        <v>0</v>
      </c>
      <c r="E7" s="93">
        <f>'1040 W4 PLANNER 2019'!I129</f>
        <v>0</v>
      </c>
      <c r="F7" s="93">
        <f>'1040 W4 PLANNER 2019'!J129</f>
        <v>0</v>
      </c>
      <c r="G7" s="93">
        <f>'1040 W4 PLANNER 2019'!K129</f>
        <v>0</v>
      </c>
      <c r="H7" s="91">
        <f>'1040 W4 PLANNER 2019'!L129</f>
        <v>0</v>
      </c>
      <c r="I7" s="92">
        <f t="shared" si="0"/>
        <v>0</v>
      </c>
      <c r="J7" s="95">
        <f t="shared" si="1"/>
        <v>0</v>
      </c>
      <c r="K7" s="95">
        <f t="shared" si="2"/>
        <v>0</v>
      </c>
      <c r="M7" s="94">
        <f t="shared" si="3"/>
        <v>0</v>
      </c>
      <c r="N7" s="94">
        <f t="shared" si="4"/>
        <v>0</v>
      </c>
      <c r="O7" s="94">
        <f t="shared" si="5"/>
        <v>360</v>
      </c>
      <c r="P7" s="94">
        <f t="shared" si="6"/>
        <v>7128</v>
      </c>
      <c r="Q7" s="94">
        <f t="shared" si="7"/>
        <v>0</v>
      </c>
      <c r="R7" s="94">
        <f t="shared" si="8"/>
        <v>0</v>
      </c>
      <c r="S7" s="94">
        <f t="shared" si="9"/>
        <v>360</v>
      </c>
      <c r="T7" s="94">
        <f t="shared" si="10"/>
        <v>0</v>
      </c>
      <c r="U7" s="33">
        <f t="shared" si="11"/>
        <v>0</v>
      </c>
      <c r="V7" s="32">
        <f t="shared" si="12"/>
        <v>0</v>
      </c>
      <c r="W7" s="33">
        <f t="shared" si="13"/>
        <v>0</v>
      </c>
      <c r="X7" s="33">
        <f t="shared" si="14"/>
        <v>0</v>
      </c>
    </row>
    <row r="8" spans="1:24" x14ac:dyDescent="0.25">
      <c r="A8" s="93">
        <f>'1040 W4 PLANNER 2019'!A130</f>
        <v>0</v>
      </c>
      <c r="B8" s="91">
        <f>'1040 W4 PLANNER 2019'!B130:F130</f>
        <v>0</v>
      </c>
      <c r="C8" s="93">
        <f>'1040 W4 PLANNER 2019'!G130</f>
        <v>0</v>
      </c>
      <c r="D8" s="93">
        <f>'1040 W4 PLANNER 2019'!H130</f>
        <v>0</v>
      </c>
      <c r="E8" s="93">
        <f>'1040 W4 PLANNER 2019'!I130</f>
        <v>0</v>
      </c>
      <c r="F8" s="93">
        <f>'1040 W4 PLANNER 2019'!J130</f>
        <v>0</v>
      </c>
      <c r="G8" s="93">
        <f>'1040 W4 PLANNER 2019'!K130</f>
        <v>0</v>
      </c>
      <c r="H8" s="91">
        <f>'1040 W4 PLANNER 2019'!L130</f>
        <v>0</v>
      </c>
      <c r="I8" s="92">
        <f t="shared" si="0"/>
        <v>0</v>
      </c>
      <c r="J8" s="95">
        <f t="shared" si="1"/>
        <v>0</v>
      </c>
      <c r="K8" s="95">
        <f t="shared" si="2"/>
        <v>0</v>
      </c>
      <c r="M8" s="94">
        <f t="shared" si="3"/>
        <v>0</v>
      </c>
      <c r="N8" s="94">
        <f t="shared" si="4"/>
        <v>0</v>
      </c>
      <c r="O8" s="94">
        <f t="shared" si="5"/>
        <v>360</v>
      </c>
      <c r="P8" s="94">
        <f t="shared" si="6"/>
        <v>7128</v>
      </c>
      <c r="Q8" s="94">
        <f t="shared" si="7"/>
        <v>0</v>
      </c>
      <c r="R8" s="94">
        <f t="shared" si="8"/>
        <v>0</v>
      </c>
      <c r="S8" s="94">
        <f t="shared" si="9"/>
        <v>360</v>
      </c>
      <c r="T8" s="94">
        <f t="shared" si="10"/>
        <v>0</v>
      </c>
      <c r="U8" s="33">
        <f t="shared" si="11"/>
        <v>0</v>
      </c>
      <c r="V8" s="32">
        <f t="shared" si="12"/>
        <v>0</v>
      </c>
      <c r="W8" s="33">
        <f t="shared" si="13"/>
        <v>0</v>
      </c>
      <c r="X8" s="33">
        <f t="shared" si="14"/>
        <v>0</v>
      </c>
    </row>
    <row r="9" spans="1:24" x14ac:dyDescent="0.25">
      <c r="A9" s="93">
        <f>'1040 W4 PLANNER 2019'!A131</f>
        <v>0</v>
      </c>
      <c r="B9" s="91">
        <f>'1040 W4 PLANNER 2019'!B131:F131</f>
        <v>0</v>
      </c>
      <c r="C9" s="93">
        <f>'1040 W4 PLANNER 2019'!G131</f>
        <v>0</v>
      </c>
      <c r="D9" s="93">
        <f>'1040 W4 PLANNER 2019'!H131</f>
        <v>0</v>
      </c>
      <c r="E9" s="93">
        <f>'1040 W4 PLANNER 2019'!I131</f>
        <v>0</v>
      </c>
      <c r="F9" s="93">
        <f>'1040 W4 PLANNER 2019'!J131</f>
        <v>0</v>
      </c>
      <c r="G9" s="93">
        <f>'1040 W4 PLANNER 2019'!K131</f>
        <v>0</v>
      </c>
      <c r="H9" s="91">
        <f>'1040 W4 PLANNER 2019'!L131</f>
        <v>0</v>
      </c>
      <c r="I9" s="92">
        <f t="shared" si="0"/>
        <v>0</v>
      </c>
      <c r="J9" s="95">
        <f t="shared" si="1"/>
        <v>0</v>
      </c>
      <c r="K9" s="95">
        <f t="shared" si="2"/>
        <v>0</v>
      </c>
      <c r="M9" s="94">
        <f t="shared" si="3"/>
        <v>0</v>
      </c>
      <c r="N9" s="94">
        <f t="shared" si="4"/>
        <v>0</v>
      </c>
      <c r="O9" s="94">
        <f t="shared" si="5"/>
        <v>360</v>
      </c>
      <c r="P9" s="94">
        <f t="shared" si="6"/>
        <v>7128</v>
      </c>
      <c r="Q9" s="94">
        <f t="shared" si="7"/>
        <v>0</v>
      </c>
      <c r="R9" s="94">
        <f t="shared" si="8"/>
        <v>0</v>
      </c>
      <c r="S9" s="94">
        <f t="shared" si="9"/>
        <v>360</v>
      </c>
      <c r="T9" s="94">
        <f t="shared" si="10"/>
        <v>0</v>
      </c>
      <c r="U9" s="33">
        <f t="shared" si="11"/>
        <v>0</v>
      </c>
      <c r="V9" s="32">
        <f t="shared" si="12"/>
        <v>0</v>
      </c>
      <c r="W9" s="33">
        <f t="shared" si="13"/>
        <v>0</v>
      </c>
      <c r="X9" s="33">
        <f t="shared" si="14"/>
        <v>0</v>
      </c>
    </row>
    <row r="10" spans="1:24" x14ac:dyDescent="0.25">
      <c r="A10" s="93">
        <f>'1040 W4 PLANNER 2019'!A132</f>
        <v>0</v>
      </c>
      <c r="B10" s="91">
        <f>'1040 W4 PLANNER 2019'!B132:F132</f>
        <v>0</v>
      </c>
      <c r="C10" s="93">
        <f>'1040 W4 PLANNER 2019'!G132</f>
        <v>0</v>
      </c>
      <c r="D10" s="93">
        <f>'1040 W4 PLANNER 2019'!H132</f>
        <v>0</v>
      </c>
      <c r="E10" s="93">
        <f>'1040 W4 PLANNER 2019'!I132</f>
        <v>0</v>
      </c>
      <c r="F10" s="93">
        <f>'1040 W4 PLANNER 2019'!J132</f>
        <v>0</v>
      </c>
      <c r="G10" s="93">
        <f>'1040 W4 PLANNER 2019'!K132</f>
        <v>0</v>
      </c>
      <c r="H10" s="91">
        <f>'1040 W4 PLANNER 2019'!L132</f>
        <v>0</v>
      </c>
      <c r="I10" s="92">
        <f t="shared" si="0"/>
        <v>0</v>
      </c>
      <c r="J10" s="95">
        <f t="shared" si="1"/>
        <v>0</v>
      </c>
      <c r="K10" s="95">
        <f t="shared" si="2"/>
        <v>0</v>
      </c>
      <c r="M10" s="94">
        <f t="shared" si="3"/>
        <v>0</v>
      </c>
      <c r="N10" s="94">
        <f t="shared" si="4"/>
        <v>0</v>
      </c>
      <c r="O10" s="94">
        <f t="shared" si="5"/>
        <v>360</v>
      </c>
      <c r="P10" s="94">
        <f t="shared" si="6"/>
        <v>7128</v>
      </c>
      <c r="Q10" s="94">
        <f t="shared" si="7"/>
        <v>0</v>
      </c>
      <c r="R10" s="94">
        <f t="shared" si="8"/>
        <v>0</v>
      </c>
      <c r="S10" s="94">
        <f t="shared" si="9"/>
        <v>360</v>
      </c>
      <c r="T10" s="94">
        <f t="shared" si="10"/>
        <v>0</v>
      </c>
      <c r="U10" s="33">
        <f t="shared" si="11"/>
        <v>0</v>
      </c>
      <c r="V10" s="32">
        <f t="shared" si="12"/>
        <v>0</v>
      </c>
      <c r="W10" s="33">
        <f t="shared" si="13"/>
        <v>0</v>
      </c>
      <c r="X10" s="33">
        <f t="shared" si="14"/>
        <v>0</v>
      </c>
    </row>
    <row r="17" spans="1:24" ht="78.75" customHeight="1" x14ac:dyDescent="0.25">
      <c r="A17" s="62" t="s">
        <v>7</v>
      </c>
      <c r="B17" s="62" t="s">
        <v>17</v>
      </c>
      <c r="C17" s="57" t="s">
        <v>156</v>
      </c>
      <c r="D17" s="57" t="s">
        <v>157</v>
      </c>
      <c r="E17" s="58" t="s">
        <v>158</v>
      </c>
      <c r="F17" s="58" t="s">
        <v>43</v>
      </c>
      <c r="G17" s="59" t="s">
        <v>159</v>
      </c>
      <c r="H17" s="63" t="s">
        <v>12</v>
      </c>
      <c r="I17" s="63" t="s">
        <v>225</v>
      </c>
      <c r="J17" s="63" t="s">
        <v>223</v>
      </c>
      <c r="K17" s="63" t="s">
        <v>224</v>
      </c>
      <c r="M17">
        <v>1</v>
      </c>
      <c r="N17">
        <v>2</v>
      </c>
      <c r="O17">
        <v>3</v>
      </c>
      <c r="P17">
        <v>4</v>
      </c>
      <c r="Q17">
        <v>4</v>
      </c>
      <c r="R17">
        <v>5</v>
      </c>
      <c r="S17">
        <v>6</v>
      </c>
      <c r="T17">
        <v>7</v>
      </c>
      <c r="U17" t="s">
        <v>395</v>
      </c>
      <c r="V17" t="s">
        <v>394</v>
      </c>
      <c r="W17" t="s">
        <v>396</v>
      </c>
      <c r="X17" t="s">
        <v>397</v>
      </c>
    </row>
    <row r="18" spans="1:24" x14ac:dyDescent="0.25">
      <c r="A18" s="86" t="str">
        <f>'1040 W4 PLANNER 2019'!A135</f>
        <v>T/S</v>
      </c>
      <c r="B18" s="87">
        <f>'1040 W4 PLANNER 2019'!B135:F135</f>
        <v>0</v>
      </c>
      <c r="C18" s="88">
        <f>'1040 W4 PLANNER 2019'!G135</f>
        <v>0</v>
      </c>
      <c r="D18" s="88">
        <f>'1040 W4 PLANNER 2019'!H135</f>
        <v>0</v>
      </c>
      <c r="E18" s="88">
        <f>'1040 W4 PLANNER 2019'!I135</f>
        <v>0</v>
      </c>
      <c r="F18" s="88">
        <f>'1040 W4 PLANNER 2019'!J135</f>
        <v>0</v>
      </c>
      <c r="G18" s="88">
        <f>'1040 W4 PLANNER 2019'!K135</f>
        <v>0</v>
      </c>
      <c r="H18" s="89">
        <f>'1040 W4 PLANNER 2019'!L135</f>
        <v>0</v>
      </c>
      <c r="I18" s="92">
        <f t="shared" ref="I18:I22" si="15">H18*C18</f>
        <v>0</v>
      </c>
      <c r="J18" s="95">
        <f t="shared" ref="J18:J22" si="16">W18</f>
        <v>0</v>
      </c>
      <c r="K18" s="95">
        <f t="shared" ref="K18:K22" si="17">X18</f>
        <v>0</v>
      </c>
      <c r="M18" s="94">
        <f t="shared" ref="M18:M22" si="18">I18</f>
        <v>0</v>
      </c>
      <c r="N18" s="94">
        <f t="shared" ref="N18:N22" si="19">M18*0.0495</f>
        <v>0</v>
      </c>
      <c r="O18" s="94">
        <f t="shared" ref="O18:O22" si="20">IF(E18="m",720,360)</f>
        <v>360</v>
      </c>
      <c r="P18" s="94">
        <f t="shared" ref="P18:P22" si="21">IF(E18="m",14256,7128)</f>
        <v>7128</v>
      </c>
      <c r="Q18" s="94">
        <f t="shared" ref="Q18:Q22" si="22">IF(M18-P18&lt;0,0,M18-P18)</f>
        <v>0</v>
      </c>
      <c r="R18" s="94">
        <f t="shared" ref="R18:R22" si="23">Q18*0.013</f>
        <v>0</v>
      </c>
      <c r="S18" s="94">
        <f t="shared" ref="S18:S22" si="24">IF(O18-R18&lt;0,0,O18-R18)</f>
        <v>360</v>
      </c>
      <c r="T18" s="94">
        <f t="shared" ref="T18:T22" si="25">IF(N18-S18&lt;0,0,N18-S18)</f>
        <v>0</v>
      </c>
      <c r="U18" s="33">
        <f t="shared" ref="U18:U22" si="26">IF(C18&gt;0,T18/C18,0)</f>
        <v>0</v>
      </c>
      <c r="V18" s="32">
        <f t="shared" ref="V18:V22" si="27">G18</f>
        <v>0</v>
      </c>
      <c r="W18" s="33">
        <f t="shared" ref="W18:W22" si="28">V18+U18</f>
        <v>0</v>
      </c>
      <c r="X18" s="33">
        <f t="shared" ref="X18:X22" si="29">W18*D18</f>
        <v>0</v>
      </c>
    </row>
    <row r="19" spans="1:24" x14ac:dyDescent="0.25">
      <c r="A19" s="86">
        <f>'1040 W4 PLANNER 2019'!A136</f>
        <v>0</v>
      </c>
      <c r="B19" s="87">
        <f>'1040 W4 PLANNER 2019'!B136:F136</f>
        <v>0</v>
      </c>
      <c r="C19" s="88">
        <f>'1040 W4 PLANNER 2019'!G136</f>
        <v>0</v>
      </c>
      <c r="D19" s="88">
        <f>'1040 W4 PLANNER 2019'!H136</f>
        <v>0</v>
      </c>
      <c r="E19" s="88">
        <f>'1040 W4 PLANNER 2019'!I136</f>
        <v>0</v>
      </c>
      <c r="F19" s="88">
        <f>'1040 W4 PLANNER 2019'!J136</f>
        <v>0</v>
      </c>
      <c r="G19" s="88">
        <f>'1040 W4 PLANNER 2019'!K136</f>
        <v>0</v>
      </c>
      <c r="H19" s="89">
        <f>'1040 W4 PLANNER 2019'!L136</f>
        <v>0</v>
      </c>
      <c r="I19" s="92">
        <f t="shared" si="15"/>
        <v>0</v>
      </c>
      <c r="J19" s="95">
        <f t="shared" si="16"/>
        <v>0</v>
      </c>
      <c r="K19" s="95">
        <f t="shared" si="17"/>
        <v>0</v>
      </c>
      <c r="M19" s="94">
        <f t="shared" si="18"/>
        <v>0</v>
      </c>
      <c r="N19" s="94">
        <f t="shared" si="19"/>
        <v>0</v>
      </c>
      <c r="O19" s="94">
        <f t="shared" si="20"/>
        <v>360</v>
      </c>
      <c r="P19" s="94">
        <f t="shared" si="21"/>
        <v>7128</v>
      </c>
      <c r="Q19" s="94">
        <f t="shared" si="22"/>
        <v>0</v>
      </c>
      <c r="R19" s="94">
        <f t="shared" si="23"/>
        <v>0</v>
      </c>
      <c r="S19" s="94">
        <f t="shared" si="24"/>
        <v>360</v>
      </c>
      <c r="T19" s="94">
        <f t="shared" si="25"/>
        <v>0</v>
      </c>
      <c r="U19" s="33">
        <f t="shared" si="26"/>
        <v>0</v>
      </c>
      <c r="V19" s="32">
        <f t="shared" si="27"/>
        <v>0</v>
      </c>
      <c r="W19" s="33">
        <f t="shared" si="28"/>
        <v>0</v>
      </c>
      <c r="X19" s="33">
        <f t="shared" si="29"/>
        <v>0</v>
      </c>
    </row>
    <row r="20" spans="1:24" x14ac:dyDescent="0.25">
      <c r="A20" s="86">
        <f>'1040 W4 PLANNER 2019'!A137</f>
        <v>0</v>
      </c>
      <c r="B20" s="87">
        <f>'1040 W4 PLANNER 2019'!B137:F137</f>
        <v>0</v>
      </c>
      <c r="C20" s="88">
        <f>'1040 W4 PLANNER 2019'!G137</f>
        <v>0</v>
      </c>
      <c r="D20" s="88">
        <f>'1040 W4 PLANNER 2019'!H137</f>
        <v>0</v>
      </c>
      <c r="E20" s="88">
        <f>'1040 W4 PLANNER 2019'!I137</f>
        <v>0</v>
      </c>
      <c r="F20" s="88">
        <f>'1040 W4 PLANNER 2019'!J137</f>
        <v>0</v>
      </c>
      <c r="G20" s="88">
        <f>'1040 W4 PLANNER 2019'!K137</f>
        <v>0</v>
      </c>
      <c r="H20" s="89">
        <f>'1040 W4 PLANNER 2019'!L137</f>
        <v>0</v>
      </c>
      <c r="I20" s="92">
        <f t="shared" si="15"/>
        <v>0</v>
      </c>
      <c r="J20" s="95">
        <f t="shared" si="16"/>
        <v>0</v>
      </c>
      <c r="K20" s="95">
        <f t="shared" si="17"/>
        <v>0</v>
      </c>
      <c r="M20" s="94">
        <f t="shared" si="18"/>
        <v>0</v>
      </c>
      <c r="N20" s="94">
        <f t="shared" si="19"/>
        <v>0</v>
      </c>
      <c r="O20" s="94">
        <f t="shared" si="20"/>
        <v>360</v>
      </c>
      <c r="P20" s="94">
        <f t="shared" si="21"/>
        <v>7128</v>
      </c>
      <c r="Q20" s="94">
        <f t="shared" si="22"/>
        <v>0</v>
      </c>
      <c r="R20" s="94">
        <f t="shared" si="23"/>
        <v>0</v>
      </c>
      <c r="S20" s="94">
        <f t="shared" si="24"/>
        <v>360</v>
      </c>
      <c r="T20" s="94">
        <f t="shared" si="25"/>
        <v>0</v>
      </c>
      <c r="U20" s="33">
        <f t="shared" si="26"/>
        <v>0</v>
      </c>
      <c r="V20" s="32">
        <f t="shared" si="27"/>
        <v>0</v>
      </c>
      <c r="W20" s="33">
        <f t="shared" si="28"/>
        <v>0</v>
      </c>
      <c r="X20" s="33">
        <f t="shared" si="29"/>
        <v>0</v>
      </c>
    </row>
    <row r="21" spans="1:24" x14ac:dyDescent="0.25">
      <c r="A21" s="86">
        <f>'1040 W4 PLANNER 2019'!A138</f>
        <v>0</v>
      </c>
      <c r="B21" s="87" t="str">
        <f>'1040 W4 PLANNER 2019'!B138:F138</f>
        <v xml:space="preserve"> </v>
      </c>
      <c r="C21" s="88">
        <f>'1040 W4 PLANNER 2019'!G138</f>
        <v>0</v>
      </c>
      <c r="D21" s="88">
        <f>'1040 W4 PLANNER 2019'!H138</f>
        <v>0</v>
      </c>
      <c r="E21" s="88">
        <f>'1040 W4 PLANNER 2019'!I138</f>
        <v>0</v>
      </c>
      <c r="F21" s="88">
        <f>'1040 W4 PLANNER 2019'!J138</f>
        <v>0</v>
      </c>
      <c r="G21" s="88">
        <f>'1040 W4 PLANNER 2019'!K138</f>
        <v>0</v>
      </c>
      <c r="H21" s="89">
        <f>'1040 W4 PLANNER 2019'!L138</f>
        <v>0</v>
      </c>
      <c r="I21" s="92">
        <f t="shared" si="15"/>
        <v>0</v>
      </c>
      <c r="J21" s="95">
        <f t="shared" si="16"/>
        <v>0</v>
      </c>
      <c r="K21" s="95">
        <f t="shared" si="17"/>
        <v>0</v>
      </c>
      <c r="M21" s="94">
        <f t="shared" si="18"/>
        <v>0</v>
      </c>
      <c r="N21" s="94">
        <f t="shared" si="19"/>
        <v>0</v>
      </c>
      <c r="O21" s="94">
        <f t="shared" si="20"/>
        <v>360</v>
      </c>
      <c r="P21" s="94">
        <f t="shared" si="21"/>
        <v>7128</v>
      </c>
      <c r="Q21" s="94">
        <f t="shared" si="22"/>
        <v>0</v>
      </c>
      <c r="R21" s="94">
        <f t="shared" si="23"/>
        <v>0</v>
      </c>
      <c r="S21" s="94">
        <f t="shared" si="24"/>
        <v>360</v>
      </c>
      <c r="T21" s="94">
        <f t="shared" si="25"/>
        <v>0</v>
      </c>
      <c r="U21" s="33">
        <f t="shared" si="26"/>
        <v>0</v>
      </c>
      <c r="V21" s="32">
        <f t="shared" si="27"/>
        <v>0</v>
      </c>
      <c r="W21" s="33">
        <f t="shared" si="28"/>
        <v>0</v>
      </c>
      <c r="X21" s="33">
        <f t="shared" si="29"/>
        <v>0</v>
      </c>
    </row>
    <row r="22" spans="1:24" x14ac:dyDescent="0.25">
      <c r="A22" s="86">
        <f>'1040 W4 PLANNER 2019'!A139</f>
        <v>0</v>
      </c>
      <c r="B22" s="87" t="str">
        <f>'1040 W4 PLANNER 2019'!B139:F139</f>
        <v xml:space="preserve"> </v>
      </c>
      <c r="C22" s="88">
        <f>'1040 W4 PLANNER 2019'!G139</f>
        <v>0</v>
      </c>
      <c r="D22" s="88">
        <f>'1040 W4 PLANNER 2019'!H139</f>
        <v>0</v>
      </c>
      <c r="E22" s="88">
        <f>'1040 W4 PLANNER 2019'!I139</f>
        <v>0</v>
      </c>
      <c r="F22" s="88">
        <f>'1040 W4 PLANNER 2019'!J139</f>
        <v>0</v>
      </c>
      <c r="G22" s="88">
        <f>'1040 W4 PLANNER 2019'!K139</f>
        <v>0</v>
      </c>
      <c r="H22" s="89">
        <f>'1040 W4 PLANNER 2019'!L139</f>
        <v>0</v>
      </c>
      <c r="I22" s="92">
        <f t="shared" si="15"/>
        <v>0</v>
      </c>
      <c r="J22" s="95">
        <f t="shared" si="16"/>
        <v>0</v>
      </c>
      <c r="K22" s="95">
        <f t="shared" si="17"/>
        <v>0</v>
      </c>
      <c r="M22" s="94">
        <f t="shared" si="18"/>
        <v>0</v>
      </c>
      <c r="N22" s="94">
        <f t="shared" si="19"/>
        <v>0</v>
      </c>
      <c r="O22" s="94">
        <f t="shared" si="20"/>
        <v>360</v>
      </c>
      <c r="P22" s="94">
        <f t="shared" si="21"/>
        <v>7128</v>
      </c>
      <c r="Q22" s="94">
        <f t="shared" si="22"/>
        <v>0</v>
      </c>
      <c r="R22" s="94">
        <f t="shared" si="23"/>
        <v>0</v>
      </c>
      <c r="S22" s="94">
        <f t="shared" si="24"/>
        <v>360</v>
      </c>
      <c r="T22" s="94">
        <f t="shared" si="25"/>
        <v>0</v>
      </c>
      <c r="U22" s="33">
        <f t="shared" si="26"/>
        <v>0</v>
      </c>
      <c r="V22" s="32">
        <f t="shared" si="27"/>
        <v>0</v>
      </c>
      <c r="W22" s="33">
        <f t="shared" si="28"/>
        <v>0</v>
      </c>
      <c r="X22" s="33">
        <f t="shared" si="29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1" tint="0.14999847407452621"/>
  </sheetPr>
  <dimension ref="A1:G7"/>
  <sheetViews>
    <sheetView workbookViewId="0">
      <selection activeCell="E2" sqref="E2"/>
    </sheetView>
  </sheetViews>
  <sheetFormatPr defaultRowHeight="15" x14ac:dyDescent="0.25"/>
  <cols>
    <col min="1" max="1" width="13.28515625" customWidth="1"/>
    <col min="3" max="3" width="10.42578125" bestFit="1" customWidth="1"/>
  </cols>
  <sheetData>
    <row r="1" spans="1:7" x14ac:dyDescent="0.25">
      <c r="A1" t="s">
        <v>106</v>
      </c>
      <c r="B1" t="s">
        <v>317</v>
      </c>
      <c r="C1" t="s">
        <v>318</v>
      </c>
      <c r="D1" t="s">
        <v>107</v>
      </c>
      <c r="E1" t="s">
        <v>323</v>
      </c>
      <c r="F1" t="s">
        <v>327</v>
      </c>
      <c r="G1" t="s">
        <v>328</v>
      </c>
    </row>
    <row r="2" spans="1:7" x14ac:dyDescent="0.25">
      <c r="A2">
        <v>1</v>
      </c>
      <c r="B2">
        <v>0</v>
      </c>
      <c r="C2">
        <v>12</v>
      </c>
      <c r="D2" t="s">
        <v>52</v>
      </c>
      <c r="E2" t="s">
        <v>41</v>
      </c>
      <c r="F2">
        <v>1</v>
      </c>
      <c r="G2" s="45">
        <v>0</v>
      </c>
    </row>
    <row r="3" spans="1:7" x14ac:dyDescent="0.25">
      <c r="A3">
        <v>2</v>
      </c>
      <c r="B3">
        <v>1</v>
      </c>
      <c r="C3">
        <v>24</v>
      </c>
      <c r="D3" t="s">
        <v>51</v>
      </c>
      <c r="E3" t="s">
        <v>51</v>
      </c>
      <c r="F3">
        <v>0</v>
      </c>
      <c r="G3" s="45">
        <v>0.15</v>
      </c>
    </row>
    <row r="4" spans="1:7" x14ac:dyDescent="0.25">
      <c r="A4">
        <v>3</v>
      </c>
      <c r="B4">
        <v>2</v>
      </c>
      <c r="C4">
        <v>26</v>
      </c>
      <c r="G4" s="45">
        <v>0.2</v>
      </c>
    </row>
    <row r="5" spans="1:7" x14ac:dyDescent="0.25">
      <c r="A5">
        <v>4</v>
      </c>
      <c r="B5">
        <v>3</v>
      </c>
      <c r="C5">
        <v>52</v>
      </c>
      <c r="G5" s="45"/>
    </row>
    <row r="6" spans="1:7" x14ac:dyDescent="0.25">
      <c r="A6">
        <v>5</v>
      </c>
      <c r="B6">
        <v>4</v>
      </c>
      <c r="C6">
        <v>260</v>
      </c>
      <c r="G6" s="45"/>
    </row>
    <row r="7" spans="1:7" x14ac:dyDescent="0.25">
      <c r="G7" s="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1040 W4 PLANNER 2019</vt:lpstr>
      <vt:lpstr>W4 PLANNER 19 SUMMARY REPORT</vt:lpstr>
      <vt:lpstr>withholding</vt:lpstr>
      <vt:lpstr>SS PT SD SINT</vt:lpstr>
      <vt:lpstr>tax CCC CTC</vt:lpstr>
      <vt:lpstr>EIC</vt:lpstr>
      <vt:lpstr>state</vt:lpstr>
      <vt:lpstr>state withhold</vt:lpstr>
      <vt:lpstr>lists</vt:lpstr>
      <vt:lpstr>list 2</vt:lpstr>
      <vt:lpstr>Blind</vt:lpstr>
      <vt:lpstr>married</vt:lpstr>
      <vt:lpstr>payperiod</vt:lpstr>
      <vt:lpstr>'1040 W4 PLANNER 2019'!Print_Area</vt:lpstr>
      <vt:lpstr>'W4 PLANNER 19 SUMMARY REPORT'!Print_Area</vt:lpstr>
      <vt:lpstr>status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McKay</dc:creator>
  <cp:lastModifiedBy>Rich McKay</cp:lastModifiedBy>
  <cp:lastPrinted>2018-02-12T23:50:33Z</cp:lastPrinted>
  <dcterms:created xsi:type="dcterms:W3CDTF">2011-11-06T23:02:43Z</dcterms:created>
  <dcterms:modified xsi:type="dcterms:W3CDTF">2019-01-29T04:33:19Z</dcterms:modified>
</cp:coreProperties>
</file>