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h\Documents\tax planners\"/>
    </mc:Choice>
  </mc:AlternateContent>
  <xr:revisionPtr revIDLastSave="0" documentId="13_ncr:1_{37DDFC67-01B6-40A6-9059-1991BCFEC845}" xr6:coauthVersionLast="45" xr6:coauthVersionMax="45" xr10:uidLastSave="{00000000-0000-0000-0000-000000000000}"/>
  <workbookProtection workbookAlgorithmName="SHA-512" workbookHashValue="azYnFaPTpkP31unc3csHceIpD1Mig0UaApElz/ITi2L0VU0uwqdROu/8fO04e+CU1nLLyM7GcE9VLm/mqx1hBA==" workbookSaltValue="UeP4cEUcgoO0uaOu5lLdwg==" workbookSpinCount="100000" lockStructure="1"/>
  <bookViews>
    <workbookView xWindow="810" yWindow="-120" windowWidth="28110" windowHeight="16440" tabRatio="645" xr2:uid="{B96EE244-E032-4E2F-8823-246A9F831EA2}"/>
  </bookViews>
  <sheets>
    <sheet name="1040 W4 PLANNER 2021" sheetId="1" r:id="rId1"/>
    <sheet name="1040 W4 PLANNER 2021 SUMMARY" sheetId="12" r:id="rId2"/>
    <sheet name="qbi" sheetId="13" state="hidden" r:id="rId3"/>
    <sheet name="withholding" sheetId="3" state="hidden" r:id="rId4"/>
    <sheet name="SS PT SD SINT" sheetId="4" state="hidden" r:id="rId5"/>
    <sheet name="tax CCC CTC" sheetId="5" state="hidden" r:id="rId6"/>
    <sheet name="EIC" sheetId="6" state="hidden" r:id="rId7"/>
    <sheet name="state" sheetId="7" state="hidden" r:id="rId8"/>
    <sheet name="state withhold" sheetId="8" state="hidden" r:id="rId9"/>
    <sheet name="lists" sheetId="9" state="hidden" r:id="rId10"/>
    <sheet name="list 2" sheetId="10" state="hidden" r:id="rId11"/>
  </sheets>
  <definedNames>
    <definedName name="Blind">lists!$B$2:$B$6</definedName>
    <definedName name="married">lists!$D$2:$D$3</definedName>
    <definedName name="pay_period">lists!$C$2:$C$7</definedName>
    <definedName name="payperiod">lists!$C$2:$C$7</definedName>
    <definedName name="_xlnm.Print_Area" localSheetId="0">'1040 W4 PLANNER 2021'!$A$1:$U$158</definedName>
    <definedName name="status">lists!$A$2:$A$6</definedName>
  </definedNames>
  <calcPr calcId="191029"/>
</workbook>
</file>

<file path=xl/calcChain.xml><?xml version="1.0" encoding="utf-8"?>
<calcChain xmlns="http://schemas.openxmlformats.org/spreadsheetml/2006/main">
  <c r="Q15" i="1" l="1"/>
  <c r="Q14" i="1"/>
  <c r="B18" i="13"/>
  <c r="B17" i="13"/>
  <c r="A17" i="13"/>
  <c r="W31" i="3"/>
  <c r="W22" i="3"/>
  <c r="D12" i="7" l="1"/>
  <c r="D11" i="7"/>
  <c r="B32" i="4" l="1"/>
  <c r="B33" i="4" s="1"/>
  <c r="D45" i="3"/>
  <c r="D65" i="3" s="1"/>
  <c r="P65" i="3" s="1"/>
  <c r="R65" i="3" s="1"/>
  <c r="M45" i="3"/>
  <c r="C45" i="3"/>
  <c r="C65" i="3" s="1"/>
  <c r="G45" i="3"/>
  <c r="G65" i="3" s="1"/>
  <c r="D44" i="3"/>
  <c r="D64" i="3" s="1"/>
  <c r="M44" i="3"/>
  <c r="H44" i="3"/>
  <c r="H64" i="3" s="1"/>
  <c r="I44" i="3"/>
  <c r="C44" i="3"/>
  <c r="C64" i="3" s="1"/>
  <c r="K64" i="3" s="1"/>
  <c r="G44" i="3"/>
  <c r="G64" i="3" s="1"/>
  <c r="J58" i="3"/>
  <c r="J52" i="3"/>
  <c r="F45" i="3"/>
  <c r="Q45" i="3" s="1"/>
  <c r="Q34" i="1" s="1"/>
  <c r="F44" i="3"/>
  <c r="F6" i="3"/>
  <c r="F5" i="3"/>
  <c r="M5" i="3"/>
  <c r="D5" i="3"/>
  <c r="D24" i="3" s="1"/>
  <c r="C5" i="3"/>
  <c r="C24" i="3" s="1"/>
  <c r="K24" i="3" s="1"/>
  <c r="H5" i="3"/>
  <c r="H24" i="3" s="1"/>
  <c r="I5" i="3"/>
  <c r="I24" i="3" s="1"/>
  <c r="F4" i="3"/>
  <c r="M4" i="3"/>
  <c r="D4" i="3"/>
  <c r="D23" i="3" s="1"/>
  <c r="W23" i="3" s="1"/>
  <c r="C4" i="3"/>
  <c r="C23" i="3" s="1"/>
  <c r="H4" i="3"/>
  <c r="H23" i="3" s="1"/>
  <c r="I4" i="3"/>
  <c r="I14" i="3" s="1"/>
  <c r="G4" i="3"/>
  <c r="G23" i="3" s="1"/>
  <c r="D6" i="3"/>
  <c r="D34" i="3" s="1"/>
  <c r="W34" i="3" s="1"/>
  <c r="C10" i="12"/>
  <c r="D4" i="12"/>
  <c r="B2" i="13"/>
  <c r="B23" i="13"/>
  <c r="B22" i="13"/>
  <c r="B21" i="13"/>
  <c r="A21" i="13"/>
  <c r="B20" i="13"/>
  <c r="A20" i="13"/>
  <c r="A19" i="13"/>
  <c r="A18" i="13"/>
  <c r="A6" i="13"/>
  <c r="AB33" i="13"/>
  <c r="AB32" i="13"/>
  <c r="AB31" i="13"/>
  <c r="X30" i="13"/>
  <c r="U30" i="13"/>
  <c r="Q30" i="13"/>
  <c r="H13" i="5"/>
  <c r="AB28" i="13"/>
  <c r="AB27" i="13"/>
  <c r="O25" i="13"/>
  <c r="AB16" i="13"/>
  <c r="AB14" i="13"/>
  <c r="AB13" i="13"/>
  <c r="AB12" i="13"/>
  <c r="AB11" i="13"/>
  <c r="AB10" i="13"/>
  <c r="AB8" i="13"/>
  <c r="AB7" i="13"/>
  <c r="AB6" i="13"/>
  <c r="AB5" i="13"/>
  <c r="L20" i="4"/>
  <c r="L42" i="12"/>
  <c r="S41" i="12"/>
  <c r="J20" i="12"/>
  <c r="K17" i="12"/>
  <c r="F17" i="12"/>
  <c r="S16" i="12"/>
  <c r="K16" i="12"/>
  <c r="O13" i="12"/>
  <c r="N13" i="12"/>
  <c r="M13" i="12"/>
  <c r="L13" i="12"/>
  <c r="K13" i="12"/>
  <c r="J13" i="12"/>
  <c r="I13" i="12"/>
  <c r="H13" i="12"/>
  <c r="C13" i="12"/>
  <c r="B13" i="12"/>
  <c r="A13" i="12"/>
  <c r="O12" i="12"/>
  <c r="N12" i="12"/>
  <c r="M12" i="12"/>
  <c r="L12" i="12"/>
  <c r="K12" i="12"/>
  <c r="J12" i="12"/>
  <c r="I12" i="12"/>
  <c r="H12" i="12"/>
  <c r="C12" i="12"/>
  <c r="B12" i="12"/>
  <c r="A12" i="12"/>
  <c r="O11" i="12"/>
  <c r="N11" i="12"/>
  <c r="M11" i="12"/>
  <c r="L11" i="12"/>
  <c r="K11" i="12"/>
  <c r="J11" i="12"/>
  <c r="I11" i="12"/>
  <c r="H11" i="12"/>
  <c r="C11" i="12"/>
  <c r="B11" i="12"/>
  <c r="A11" i="12"/>
  <c r="O10" i="12"/>
  <c r="B10" i="12"/>
  <c r="N10" i="12"/>
  <c r="M10" i="12"/>
  <c r="L10" i="12"/>
  <c r="K10" i="12"/>
  <c r="J10" i="12"/>
  <c r="I10" i="12"/>
  <c r="H10" i="12"/>
  <c r="A10" i="12"/>
  <c r="Q7" i="12"/>
  <c r="Q6" i="12"/>
  <c r="U5" i="12"/>
  <c r="U4" i="12"/>
  <c r="P5" i="12"/>
  <c r="P4" i="12"/>
  <c r="L5" i="12"/>
  <c r="L4" i="12"/>
  <c r="D5" i="12"/>
  <c r="M141" i="1"/>
  <c r="L141" i="1"/>
  <c r="K141" i="1"/>
  <c r="F22" i="8" s="1"/>
  <c r="M140" i="1"/>
  <c r="L140" i="1"/>
  <c r="K140" i="1"/>
  <c r="F21" i="8" s="1"/>
  <c r="M139" i="1"/>
  <c r="L139" i="1"/>
  <c r="K139" i="1"/>
  <c r="M138" i="1"/>
  <c r="L138" i="1"/>
  <c r="K138" i="1"/>
  <c r="F19" i="8" s="1"/>
  <c r="M137" i="1"/>
  <c r="L137" i="1"/>
  <c r="K127" i="1"/>
  <c r="F3" i="8" s="1"/>
  <c r="M134" i="1"/>
  <c r="L134" i="1"/>
  <c r="K134" i="1"/>
  <c r="M133" i="1"/>
  <c r="L133" i="1"/>
  <c r="K133" i="1"/>
  <c r="F9" i="8" s="1"/>
  <c r="M132" i="1"/>
  <c r="L132" i="1"/>
  <c r="K132" i="1"/>
  <c r="F8" i="8" s="1"/>
  <c r="M131" i="1"/>
  <c r="L131" i="1"/>
  <c r="K131" i="1"/>
  <c r="F7" i="8" s="1"/>
  <c r="M130" i="1"/>
  <c r="L130" i="1"/>
  <c r="K130" i="1"/>
  <c r="F6" i="8" s="1"/>
  <c r="M129" i="1"/>
  <c r="L129" i="1"/>
  <c r="K129" i="1"/>
  <c r="F5" i="8" s="1"/>
  <c r="M128" i="1"/>
  <c r="L128" i="1"/>
  <c r="K128" i="1"/>
  <c r="F4" i="8" s="1"/>
  <c r="M127" i="1"/>
  <c r="L127" i="1"/>
  <c r="S78" i="1"/>
  <c r="A141" i="1"/>
  <c r="A22" i="8" s="1"/>
  <c r="A140" i="1"/>
  <c r="A139" i="1"/>
  <c r="A138" i="1"/>
  <c r="A19" i="8" s="1"/>
  <c r="A137" i="1"/>
  <c r="A18" i="8" s="1"/>
  <c r="B22" i="8"/>
  <c r="B21" i="8"/>
  <c r="B20" i="8"/>
  <c r="B19" i="8"/>
  <c r="B18" i="8"/>
  <c r="B10" i="8"/>
  <c r="B9" i="8"/>
  <c r="B8" i="8"/>
  <c r="B7" i="8"/>
  <c r="B6" i="8"/>
  <c r="B5" i="8"/>
  <c r="B4" i="8"/>
  <c r="B3" i="8"/>
  <c r="J68" i="3"/>
  <c r="I68" i="3"/>
  <c r="H68" i="3"/>
  <c r="J67" i="3"/>
  <c r="I67" i="3"/>
  <c r="H67" i="3"/>
  <c r="J66" i="3"/>
  <c r="I66" i="3"/>
  <c r="H66" i="3"/>
  <c r="J65" i="3"/>
  <c r="I65" i="3"/>
  <c r="H65" i="3"/>
  <c r="J64" i="3"/>
  <c r="J21" i="3"/>
  <c r="J20" i="3"/>
  <c r="J19" i="3"/>
  <c r="J18" i="3"/>
  <c r="J17" i="3"/>
  <c r="J16" i="3"/>
  <c r="J62" i="3"/>
  <c r="I62" i="3"/>
  <c r="H62" i="3"/>
  <c r="J61" i="3"/>
  <c r="I61" i="3"/>
  <c r="H61" i="3"/>
  <c r="J60" i="3"/>
  <c r="I60" i="3"/>
  <c r="H60" i="3"/>
  <c r="J59" i="3"/>
  <c r="I59" i="3"/>
  <c r="H59" i="3"/>
  <c r="J56" i="3"/>
  <c r="I56" i="3"/>
  <c r="H56" i="3"/>
  <c r="J55" i="3"/>
  <c r="I55" i="3"/>
  <c r="H55" i="3"/>
  <c r="J54" i="3"/>
  <c r="I54" i="3"/>
  <c r="H54" i="3"/>
  <c r="J53" i="3"/>
  <c r="I53" i="3"/>
  <c r="H53" i="3"/>
  <c r="J44" i="3"/>
  <c r="C48" i="3"/>
  <c r="C56" i="3" s="1"/>
  <c r="C47" i="3"/>
  <c r="C55" i="3" s="1"/>
  <c r="K55" i="3" s="1"/>
  <c r="C46" i="3"/>
  <c r="C54" i="3" s="1"/>
  <c r="K54" i="3" s="1"/>
  <c r="C11" i="3"/>
  <c r="C39" i="3" s="1"/>
  <c r="K39" i="3" s="1"/>
  <c r="C10" i="3"/>
  <c r="C20" i="3" s="1"/>
  <c r="K20" i="3" s="1"/>
  <c r="C9" i="3"/>
  <c r="C19" i="3" s="1"/>
  <c r="K19" i="3" s="1"/>
  <c r="C8" i="3"/>
  <c r="C18" i="3" s="1"/>
  <c r="K18" i="3" s="1"/>
  <c r="C7" i="3"/>
  <c r="C26" i="3" s="1"/>
  <c r="K26" i="3" s="1"/>
  <c r="C6" i="3"/>
  <c r="C25" i="3" s="1"/>
  <c r="K25" i="3" s="1"/>
  <c r="J15" i="3"/>
  <c r="J11" i="3"/>
  <c r="J39" i="3" s="1"/>
  <c r="I11" i="3"/>
  <c r="I39" i="3" s="1"/>
  <c r="H11" i="3"/>
  <c r="H30" i="3" s="1"/>
  <c r="J10" i="3"/>
  <c r="J29" i="3" s="1"/>
  <c r="I10" i="3"/>
  <c r="I20" i="3" s="1"/>
  <c r="H10" i="3"/>
  <c r="H20" i="3" s="1"/>
  <c r="J9" i="3"/>
  <c r="J37" i="3" s="1"/>
  <c r="I9" i="3"/>
  <c r="I19" i="3" s="1"/>
  <c r="H9" i="3"/>
  <c r="H19" i="3" s="1"/>
  <c r="J8" i="3"/>
  <c r="J27" i="3" s="1"/>
  <c r="I8" i="3"/>
  <c r="H8" i="3"/>
  <c r="H36" i="3" s="1"/>
  <c r="J7" i="3"/>
  <c r="J26" i="3" s="1"/>
  <c r="I7" i="3"/>
  <c r="I35" i="3" s="1"/>
  <c r="H7" i="3"/>
  <c r="H26" i="3" s="1"/>
  <c r="J6" i="3"/>
  <c r="J25" i="3" s="1"/>
  <c r="I6" i="3"/>
  <c r="I25" i="3" s="1"/>
  <c r="H6" i="3"/>
  <c r="H25" i="3" s="1"/>
  <c r="J5" i="3"/>
  <c r="J33" i="3" s="1"/>
  <c r="C1" i="8"/>
  <c r="E32" i="4"/>
  <c r="E33" i="4" s="1"/>
  <c r="D6" i="7"/>
  <c r="C16" i="7" s="1"/>
  <c r="O127" i="1"/>
  <c r="H3" i="8" s="1"/>
  <c r="L22" i="4"/>
  <c r="L21" i="4"/>
  <c r="L19" i="4"/>
  <c r="L18" i="4"/>
  <c r="E26" i="4"/>
  <c r="E24" i="4"/>
  <c r="L24" i="4"/>
  <c r="L23" i="4"/>
  <c r="K18" i="4"/>
  <c r="B48" i="5"/>
  <c r="B30" i="5"/>
  <c r="B29" i="5"/>
  <c r="B45" i="5" s="1"/>
  <c r="K22" i="4"/>
  <c r="K21" i="4"/>
  <c r="K20" i="4"/>
  <c r="K19" i="4"/>
  <c r="K4" i="4"/>
  <c r="K6" i="4" s="1"/>
  <c r="O137" i="1"/>
  <c r="H18" i="8" s="1"/>
  <c r="K137" i="1"/>
  <c r="F18" i="8" s="1"/>
  <c r="J137" i="1"/>
  <c r="E18" i="8" s="1"/>
  <c r="I137" i="1"/>
  <c r="D18" i="8" s="1"/>
  <c r="H137" i="1"/>
  <c r="C18" i="8" s="1"/>
  <c r="H19" i="5"/>
  <c r="H18" i="5"/>
  <c r="H20" i="5" s="1"/>
  <c r="G32" i="7"/>
  <c r="D19" i="5"/>
  <c r="I2" i="5"/>
  <c r="G6" i="8"/>
  <c r="V6" i="8" s="1"/>
  <c r="G5" i="8"/>
  <c r="V5" i="8" s="1"/>
  <c r="G3" i="8"/>
  <c r="V3" i="8" s="1"/>
  <c r="C14" i="5"/>
  <c r="B14" i="5" s="1"/>
  <c r="C137" i="1"/>
  <c r="O128" i="1"/>
  <c r="H4" i="8" s="1"/>
  <c r="J128" i="1"/>
  <c r="E4" i="8" s="1"/>
  <c r="I128" i="1"/>
  <c r="D4" i="8" s="1"/>
  <c r="H128" i="1"/>
  <c r="C4" i="8" s="1"/>
  <c r="C128" i="1"/>
  <c r="A128" i="1"/>
  <c r="A4" i="8" s="1"/>
  <c r="A130" i="1"/>
  <c r="A6" i="8" s="1"/>
  <c r="A129" i="1"/>
  <c r="A5" i="8" s="1"/>
  <c r="J127" i="1"/>
  <c r="E3" i="8" s="1"/>
  <c r="I127" i="1"/>
  <c r="D3" i="8" s="1"/>
  <c r="H127" i="1"/>
  <c r="C3" i="8" s="1"/>
  <c r="C127" i="1"/>
  <c r="S29" i="1"/>
  <c r="S24" i="1"/>
  <c r="S17" i="12" s="1"/>
  <c r="H130" i="1"/>
  <c r="C6" i="8" s="1"/>
  <c r="U6" i="8" s="1"/>
  <c r="D10" i="7"/>
  <c r="S145" i="1"/>
  <c r="C138" i="1"/>
  <c r="O129" i="1"/>
  <c r="H5" i="8" s="1"/>
  <c r="J129" i="1"/>
  <c r="E5" i="8" s="1"/>
  <c r="I129" i="1"/>
  <c r="D5" i="8" s="1"/>
  <c r="H129" i="1"/>
  <c r="C5" i="8" s="1"/>
  <c r="C129" i="1"/>
  <c r="G22" i="8"/>
  <c r="V22" i="8" s="1"/>
  <c r="G21" i="8"/>
  <c r="V21" i="8" s="1"/>
  <c r="G20" i="8"/>
  <c r="V20" i="8" s="1"/>
  <c r="G19" i="8"/>
  <c r="V19" i="8" s="1"/>
  <c r="G18" i="8"/>
  <c r="V18" i="8" s="1"/>
  <c r="E6" i="3"/>
  <c r="E16" i="3" s="1"/>
  <c r="G10" i="8"/>
  <c r="V10" i="8" s="1"/>
  <c r="G9" i="8"/>
  <c r="V9" i="8" s="1"/>
  <c r="G8" i="8"/>
  <c r="V8" i="8" s="1"/>
  <c r="G7" i="8"/>
  <c r="V7" i="8" s="1"/>
  <c r="G4" i="8"/>
  <c r="V4" i="8" s="1"/>
  <c r="O141" i="1"/>
  <c r="H22" i="8" s="1"/>
  <c r="J141" i="1"/>
  <c r="E22" i="8" s="1"/>
  <c r="I141" i="1"/>
  <c r="D22" i="8" s="1"/>
  <c r="H141" i="1"/>
  <c r="C22" i="8" s="1"/>
  <c r="U22" i="8" s="1"/>
  <c r="C141" i="1"/>
  <c r="O140" i="1"/>
  <c r="H21" i="8" s="1"/>
  <c r="J140" i="1"/>
  <c r="E21" i="8" s="1"/>
  <c r="I140" i="1"/>
  <c r="D21" i="8" s="1"/>
  <c r="H140" i="1"/>
  <c r="C21" i="8"/>
  <c r="U21" i="8" s="1"/>
  <c r="C140" i="1"/>
  <c r="A21" i="8"/>
  <c r="O139" i="1"/>
  <c r="H20" i="8" s="1"/>
  <c r="F20" i="8"/>
  <c r="J139" i="1"/>
  <c r="E20" i="8" s="1"/>
  <c r="P20" i="8" s="1"/>
  <c r="I139" i="1"/>
  <c r="D20" i="8" s="1"/>
  <c r="H139" i="1"/>
  <c r="C20" i="8" s="1"/>
  <c r="U20" i="8" s="1"/>
  <c r="C139" i="1"/>
  <c r="A20" i="8"/>
  <c r="O138" i="1"/>
  <c r="H19" i="8" s="1"/>
  <c r="J138" i="1"/>
  <c r="E19" i="8" s="1"/>
  <c r="P19" i="8" s="1"/>
  <c r="I138" i="1"/>
  <c r="D19" i="8" s="1"/>
  <c r="H138" i="1"/>
  <c r="C19" i="8" s="1"/>
  <c r="U19" i="8" s="1"/>
  <c r="O134" i="1"/>
  <c r="H10" i="8" s="1"/>
  <c r="F10" i="8"/>
  <c r="J134" i="1"/>
  <c r="E10" i="8" s="1"/>
  <c r="P10" i="8" s="1"/>
  <c r="I134" i="1"/>
  <c r="D10" i="8" s="1"/>
  <c r="H134" i="1"/>
  <c r="C10" i="8"/>
  <c r="U10" i="8" s="1"/>
  <c r="C134" i="1"/>
  <c r="A134" i="1"/>
  <c r="A10" i="8"/>
  <c r="O133" i="1"/>
  <c r="H9" i="8" s="1"/>
  <c r="J133" i="1"/>
  <c r="E9" i="8"/>
  <c r="O9" i="8" s="1"/>
  <c r="I133" i="1"/>
  <c r="D9" i="8" s="1"/>
  <c r="H133" i="1"/>
  <c r="C9" i="8" s="1"/>
  <c r="U9" i="8" s="1"/>
  <c r="C133" i="1"/>
  <c r="A133" i="1"/>
  <c r="A9" i="8"/>
  <c r="O132" i="1"/>
  <c r="H8" i="8" s="1"/>
  <c r="J132" i="1"/>
  <c r="E8" i="8" s="1"/>
  <c r="I132" i="1"/>
  <c r="D8" i="8" s="1"/>
  <c r="H132" i="1"/>
  <c r="C8" i="8" s="1"/>
  <c r="U8" i="8" s="1"/>
  <c r="C132" i="1"/>
  <c r="A132" i="1"/>
  <c r="A8" i="8"/>
  <c r="O131" i="1"/>
  <c r="H7" i="8" s="1"/>
  <c r="J131" i="1"/>
  <c r="E7" i="8"/>
  <c r="P7" i="8" s="1"/>
  <c r="I131" i="1"/>
  <c r="D7" i="8" s="1"/>
  <c r="H131" i="1"/>
  <c r="C7" i="8" s="1"/>
  <c r="U7" i="8" s="1"/>
  <c r="C131" i="1"/>
  <c r="A131" i="1"/>
  <c r="A7" i="8"/>
  <c r="O130" i="1"/>
  <c r="H6" i="8" s="1"/>
  <c r="J130" i="1"/>
  <c r="E6" i="8" s="1"/>
  <c r="O6" i="8" s="1"/>
  <c r="I130" i="1"/>
  <c r="D6" i="8" s="1"/>
  <c r="C130" i="1"/>
  <c r="A127" i="1"/>
  <c r="A3" i="8" s="1"/>
  <c r="D8" i="7"/>
  <c r="G14" i="7" s="1"/>
  <c r="I14" i="7" s="1"/>
  <c r="D7" i="7"/>
  <c r="G13" i="7" s="1"/>
  <c r="I13" i="7" s="1"/>
  <c r="D5" i="7"/>
  <c r="L4" i="7" s="1"/>
  <c r="H2" i="6"/>
  <c r="H10" i="6"/>
  <c r="H9" i="6"/>
  <c r="H8" i="6"/>
  <c r="H7" i="6"/>
  <c r="E1" i="6"/>
  <c r="B13" i="5"/>
  <c r="D1" i="5"/>
  <c r="B33" i="5" s="1"/>
  <c r="H23" i="4"/>
  <c r="G7" i="4"/>
  <c r="G11" i="4" s="1"/>
  <c r="B26" i="4"/>
  <c r="B24" i="4"/>
  <c r="D1" i="4"/>
  <c r="B6" i="4"/>
  <c r="B3" i="4"/>
  <c r="B19" i="4" s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M48" i="3"/>
  <c r="J48" i="3"/>
  <c r="G48" i="3"/>
  <c r="G56" i="3" s="1"/>
  <c r="F48" i="3"/>
  <c r="Q48" i="3" s="1"/>
  <c r="Q37" i="1" s="1"/>
  <c r="E48" i="3"/>
  <c r="E62" i="3" s="1"/>
  <c r="D48" i="3"/>
  <c r="D68" i="3" s="1"/>
  <c r="P68" i="3" s="1"/>
  <c r="B48" i="3"/>
  <c r="B68" i="3" s="1"/>
  <c r="M47" i="3"/>
  <c r="J47" i="3"/>
  <c r="G47" i="3"/>
  <c r="F47" i="3"/>
  <c r="Q47" i="3" s="1"/>
  <c r="Q36" i="1" s="1"/>
  <c r="E47" i="3"/>
  <c r="D47" i="3"/>
  <c r="B47" i="3"/>
  <c r="B61" i="3" s="1"/>
  <c r="M46" i="3"/>
  <c r="J46" i="3"/>
  <c r="G46" i="3"/>
  <c r="F46" i="3"/>
  <c r="Q46" i="3" s="1"/>
  <c r="Q35" i="1" s="1"/>
  <c r="E46" i="3"/>
  <c r="E60" i="3" s="1"/>
  <c r="D46" i="3"/>
  <c r="R46" i="3" s="1"/>
  <c r="S35" i="1" s="1"/>
  <c r="B46" i="3"/>
  <c r="B66" i="3" s="1"/>
  <c r="J45" i="3"/>
  <c r="E45" i="3"/>
  <c r="O45" i="3" s="1"/>
  <c r="B45" i="3"/>
  <c r="T45" i="3" s="1"/>
  <c r="E44" i="3"/>
  <c r="E52" i="3" s="1"/>
  <c r="B44" i="3"/>
  <c r="B52" i="3" s="1"/>
  <c r="S44" i="3"/>
  <c r="M11" i="3"/>
  <c r="M10" i="3"/>
  <c r="M9" i="3"/>
  <c r="M8" i="3"/>
  <c r="M7" i="3"/>
  <c r="M6" i="3"/>
  <c r="G11" i="3"/>
  <c r="G39" i="3" s="1"/>
  <c r="G10" i="3"/>
  <c r="G20" i="3" s="1"/>
  <c r="G9" i="3"/>
  <c r="G37" i="3" s="1"/>
  <c r="G8" i="3"/>
  <c r="G27" i="3" s="1"/>
  <c r="G7" i="3"/>
  <c r="G17" i="3" s="1"/>
  <c r="G6" i="3"/>
  <c r="G25" i="3" s="1"/>
  <c r="G5" i="3"/>
  <c r="G15" i="3" s="1"/>
  <c r="F11" i="3"/>
  <c r="Q11" i="3" s="1"/>
  <c r="F10" i="3"/>
  <c r="Q10" i="3" s="1"/>
  <c r="Q18" i="1" s="1"/>
  <c r="F9" i="3"/>
  <c r="Q9" i="3" s="1"/>
  <c r="Q17" i="1" s="1"/>
  <c r="F8" i="3"/>
  <c r="Q8" i="3" s="1"/>
  <c r="Q16" i="1" s="1"/>
  <c r="F7" i="3"/>
  <c r="Q7" i="3" s="1"/>
  <c r="E11" i="3"/>
  <c r="E39" i="3" s="1"/>
  <c r="D11" i="3"/>
  <c r="D39" i="3" s="1"/>
  <c r="W39" i="3" s="1"/>
  <c r="B11" i="3"/>
  <c r="T11" i="3" s="1"/>
  <c r="E10" i="3"/>
  <c r="D10" i="3"/>
  <c r="D29" i="3" s="1"/>
  <c r="B10" i="3"/>
  <c r="T10" i="3" s="1"/>
  <c r="E9" i="3"/>
  <c r="D9" i="3"/>
  <c r="D37" i="3" s="1"/>
  <c r="W37" i="3" s="1"/>
  <c r="B9" i="3"/>
  <c r="U9" i="3" s="1"/>
  <c r="E8" i="3"/>
  <c r="E36" i="3" s="1"/>
  <c r="D8" i="3"/>
  <c r="D27" i="3" s="1"/>
  <c r="B8" i="3"/>
  <c r="T8" i="3" s="1"/>
  <c r="E7" i="3"/>
  <c r="E26" i="3" s="1"/>
  <c r="D7" i="3"/>
  <c r="D26" i="3" s="1"/>
  <c r="B7" i="3"/>
  <c r="U7" i="3" s="1"/>
  <c r="B6" i="3"/>
  <c r="T6" i="3" s="1"/>
  <c r="E5" i="3"/>
  <c r="E15" i="3" s="1"/>
  <c r="B5" i="3"/>
  <c r="U5" i="3" s="1"/>
  <c r="J14" i="3"/>
  <c r="J4" i="3"/>
  <c r="J23" i="3" s="1"/>
  <c r="S4" i="3"/>
  <c r="E4" i="3"/>
  <c r="E23" i="3" s="1"/>
  <c r="B4" i="3"/>
  <c r="U4" i="3" s="1"/>
  <c r="B55" i="3"/>
  <c r="D56" i="3"/>
  <c r="P56" i="3" s="1"/>
  <c r="R56" i="3" s="1"/>
  <c r="B56" i="3"/>
  <c r="E21" i="3"/>
  <c r="R48" i="3"/>
  <c r="S37" i="1" s="1"/>
  <c r="E59" i="3"/>
  <c r="E30" i="3"/>
  <c r="D19" i="3"/>
  <c r="O47" i="3"/>
  <c r="B10" i="6"/>
  <c r="D62" i="3" l="1"/>
  <c r="P62" i="3" s="1"/>
  <c r="B67" i="3"/>
  <c r="I21" i="8"/>
  <c r="M21" i="8" s="1"/>
  <c r="N21" i="8" s="1"/>
  <c r="T47" i="3"/>
  <c r="E27" i="4"/>
  <c r="E28" i="4" s="1"/>
  <c r="E29" i="4" s="1"/>
  <c r="E30" i="4" s="1"/>
  <c r="E35" i="4" s="1"/>
  <c r="T9" i="3"/>
  <c r="O22" i="8"/>
  <c r="P22" i="8"/>
  <c r="F56" i="3"/>
  <c r="J36" i="3"/>
  <c r="J35" i="3"/>
  <c r="I6" i="8"/>
  <c r="M6" i="8" s="1"/>
  <c r="N6" i="8" s="1"/>
  <c r="H22" i="5"/>
  <c r="U10" i="3"/>
  <c r="G35" i="3"/>
  <c r="P19" i="3"/>
  <c r="R19" i="3" s="1"/>
  <c r="W19" i="3"/>
  <c r="P26" i="3"/>
  <c r="Q26" i="3" s="1"/>
  <c r="W26" i="3"/>
  <c r="R26" i="3"/>
  <c r="W29" i="3"/>
  <c r="C36" i="3"/>
  <c r="K36" i="3" s="1"/>
  <c r="W27" i="3"/>
  <c r="I10" i="8"/>
  <c r="M10" i="8" s="1"/>
  <c r="N10" i="8" s="1"/>
  <c r="F61" i="3"/>
  <c r="D33" i="3"/>
  <c r="W33" i="3" s="1"/>
  <c r="G58" i="3"/>
  <c r="W24" i="3"/>
  <c r="A5" i="13"/>
  <c r="A27" i="13" s="1"/>
  <c r="A28" i="13" s="1"/>
  <c r="A29" i="13" s="1"/>
  <c r="B5" i="13"/>
  <c r="B7" i="6"/>
  <c r="B8" i="6"/>
  <c r="E33" i="3"/>
  <c r="I18" i="8"/>
  <c r="M18" i="8" s="1"/>
  <c r="N18" i="8" s="1"/>
  <c r="P18" i="8"/>
  <c r="O18" i="8"/>
  <c r="G12" i="4"/>
  <c r="G6" i="4"/>
  <c r="E32" i="3"/>
  <c r="O3" i="8"/>
  <c r="P3" i="8"/>
  <c r="W19" i="8"/>
  <c r="X19" i="8" s="1"/>
  <c r="K19" i="8" s="1"/>
  <c r="S138" i="1" s="1"/>
  <c r="C66" i="3"/>
  <c r="K66" i="3" s="1"/>
  <c r="B31" i="5"/>
  <c r="K25" i="4"/>
  <c r="K26" i="4" s="1"/>
  <c r="G16" i="3"/>
  <c r="R7" i="3"/>
  <c r="S15" i="1" s="1"/>
  <c r="S13" i="12" s="1"/>
  <c r="C60" i="3"/>
  <c r="K60" i="3" s="1"/>
  <c r="D32" i="3"/>
  <c r="W32" i="3" s="1"/>
  <c r="U48" i="3"/>
  <c r="E53" i="3"/>
  <c r="O9" i="3"/>
  <c r="G53" i="3"/>
  <c r="I17" i="3"/>
  <c r="D30" i="3"/>
  <c r="E65" i="3"/>
  <c r="Q65" i="3" s="1"/>
  <c r="T48" i="3"/>
  <c r="D28" i="3"/>
  <c r="H32" i="3"/>
  <c r="G59" i="3"/>
  <c r="R45" i="3"/>
  <c r="S34" i="1" s="1"/>
  <c r="B4" i="4"/>
  <c r="B62" i="3"/>
  <c r="C17" i="3"/>
  <c r="K17" i="3" s="1"/>
  <c r="D21" i="3"/>
  <c r="F21" i="3" s="1"/>
  <c r="G34" i="3"/>
  <c r="P39" i="3"/>
  <c r="R39" i="3" s="1"/>
  <c r="O5" i="3"/>
  <c r="T5" i="3" s="1"/>
  <c r="H21" i="5"/>
  <c r="H23" i="5" s="1"/>
  <c r="B18" i="5" s="1"/>
  <c r="O11" i="3"/>
  <c r="I3" i="8"/>
  <c r="M3" i="8" s="1"/>
  <c r="N3" i="8" s="1"/>
  <c r="C67" i="3"/>
  <c r="K67" i="3" s="1"/>
  <c r="H38" i="3"/>
  <c r="H33" i="3"/>
  <c r="F58" i="3"/>
  <c r="L6" i="4"/>
  <c r="I19" i="8"/>
  <c r="M19" i="8" s="1"/>
  <c r="N19" i="8" s="1"/>
  <c r="C33" i="3"/>
  <c r="K33" i="3" s="1"/>
  <c r="T7" i="3"/>
  <c r="K7" i="4"/>
  <c r="W8" i="8"/>
  <c r="X8" i="8" s="1"/>
  <c r="K8" i="8" s="1"/>
  <c r="S132" i="1" s="1"/>
  <c r="C58" i="3"/>
  <c r="K58" i="3" s="1"/>
  <c r="E56" i="3"/>
  <c r="Q56" i="3" s="1"/>
  <c r="U47" i="3"/>
  <c r="E24" i="3"/>
  <c r="G21" i="3"/>
  <c r="B54" i="3"/>
  <c r="W21" i="8"/>
  <c r="X21" i="8" s="1"/>
  <c r="K21" i="8" s="1"/>
  <c r="S140" i="1" s="1"/>
  <c r="I30" i="3"/>
  <c r="C15" i="3"/>
  <c r="K15" i="3" s="1"/>
  <c r="D14" i="3"/>
  <c r="U46" i="3"/>
  <c r="R47" i="3"/>
  <c r="S36" i="1" s="1"/>
  <c r="F62" i="3"/>
  <c r="C35" i="3"/>
  <c r="K35" i="3" s="1"/>
  <c r="H29" i="3"/>
  <c r="I26" i="3"/>
  <c r="C32" i="3"/>
  <c r="K32" i="3" s="1"/>
  <c r="I23" i="3"/>
  <c r="O8" i="8"/>
  <c r="P8" i="8"/>
  <c r="P4" i="8"/>
  <c r="O4" i="8"/>
  <c r="P5" i="8"/>
  <c r="O5" i="8"/>
  <c r="I5" i="8"/>
  <c r="M5" i="8" s="1"/>
  <c r="N5" i="8" s="1"/>
  <c r="C38" i="3"/>
  <c r="K38" i="3" s="1"/>
  <c r="Q13" i="12"/>
  <c r="O7" i="8"/>
  <c r="E19" i="3"/>
  <c r="Q19" i="3" s="1"/>
  <c r="G26" i="3"/>
  <c r="F26" i="3"/>
  <c r="W10" i="8"/>
  <c r="X10" i="8" s="1"/>
  <c r="K10" i="8" s="1"/>
  <c r="S134" i="1" s="1"/>
  <c r="C52" i="3"/>
  <c r="K52" i="3" s="1"/>
  <c r="D59" i="3"/>
  <c r="P59" i="3" s="1"/>
  <c r="R59" i="3" s="1"/>
  <c r="O4" i="3"/>
  <c r="T4" i="3" s="1"/>
  <c r="G18" i="3"/>
  <c r="J30" i="3"/>
  <c r="E68" i="3"/>
  <c r="I37" i="3"/>
  <c r="G32" i="3"/>
  <c r="F53" i="3"/>
  <c r="U11" i="3"/>
  <c r="Q10" i="8"/>
  <c r="R10" i="8" s="1"/>
  <c r="C29" i="3"/>
  <c r="K29" i="3" s="1"/>
  <c r="I32" i="3"/>
  <c r="G30" i="3"/>
  <c r="O19" i="8"/>
  <c r="E14" i="3"/>
  <c r="G38" i="3"/>
  <c r="F67" i="3"/>
  <c r="L67" i="3" s="1"/>
  <c r="R8" i="3"/>
  <c r="S16" i="1" s="1"/>
  <c r="C27" i="3"/>
  <c r="K27" i="3" s="1"/>
  <c r="J34" i="3"/>
  <c r="A24" i="13"/>
  <c r="A25" i="13" s="1"/>
  <c r="P29" i="3"/>
  <c r="R29" i="3" s="1"/>
  <c r="F29" i="3"/>
  <c r="P27" i="3"/>
  <c r="R27" i="3" s="1"/>
  <c r="F27" i="3"/>
  <c r="L5" i="7"/>
  <c r="L9" i="7"/>
  <c r="L7" i="7"/>
  <c r="L6" i="7"/>
  <c r="L8" i="7"/>
  <c r="O10" i="8"/>
  <c r="P9" i="8"/>
  <c r="D18" i="3"/>
  <c r="D36" i="3"/>
  <c r="W36" i="3" s="1"/>
  <c r="R10" i="3"/>
  <c r="S18" i="1" s="1"/>
  <c r="I20" i="8"/>
  <c r="M20" i="8" s="1"/>
  <c r="H16" i="3"/>
  <c r="U8" i="3"/>
  <c r="U45" i="3"/>
  <c r="B10" i="4"/>
  <c r="E66" i="3"/>
  <c r="D66" i="3"/>
  <c r="P66" i="3" s="1"/>
  <c r="D55" i="3"/>
  <c r="P55" i="3" s="1"/>
  <c r="R55" i="3" s="1"/>
  <c r="I21" i="3"/>
  <c r="F64" i="3"/>
  <c r="W20" i="8"/>
  <c r="J20" i="8" s="1"/>
  <c r="Q139" i="1" s="1"/>
  <c r="F30" i="3"/>
  <c r="O44" i="3"/>
  <c r="T44" i="3" s="1"/>
  <c r="G28" i="3"/>
  <c r="G21" i="7"/>
  <c r="I9" i="8"/>
  <c r="M9" i="8" s="1"/>
  <c r="P6" i="8"/>
  <c r="O20" i="8"/>
  <c r="E34" i="3"/>
  <c r="F39" i="3"/>
  <c r="G19" i="3"/>
  <c r="F60" i="3"/>
  <c r="L60" i="3" s="1"/>
  <c r="D67" i="3"/>
  <c r="P67" i="3" s="1"/>
  <c r="R67" i="3" s="1"/>
  <c r="H28" i="3"/>
  <c r="H34" i="3"/>
  <c r="G52" i="3"/>
  <c r="I7" i="8"/>
  <c r="M7" i="8" s="1"/>
  <c r="D54" i="3"/>
  <c r="P54" i="3" s="1"/>
  <c r="R54" i="3" s="1"/>
  <c r="D61" i="3"/>
  <c r="P61" i="3" s="1"/>
  <c r="R61" i="3" s="1"/>
  <c r="I8" i="8"/>
  <c r="M8" i="8" s="1"/>
  <c r="T46" i="3"/>
  <c r="E25" i="3"/>
  <c r="G36" i="3"/>
  <c r="O7" i="3"/>
  <c r="W9" i="8"/>
  <c r="J9" i="8" s="1"/>
  <c r="Q133" i="1" s="1"/>
  <c r="W6" i="8"/>
  <c r="X6" i="8" s="1"/>
  <c r="K6" i="8" s="1"/>
  <c r="S130" i="1" s="1"/>
  <c r="L25" i="4"/>
  <c r="L26" i="4" s="1"/>
  <c r="I28" i="3"/>
  <c r="I16" i="3"/>
  <c r="G14" i="3"/>
  <c r="I33" i="3"/>
  <c r="H58" i="3"/>
  <c r="G29" i="3"/>
  <c r="F55" i="3"/>
  <c r="L55" i="3" s="1"/>
  <c r="W22" i="8"/>
  <c r="X22" i="8" s="1"/>
  <c r="K22" i="8" s="1"/>
  <c r="S141" i="1" s="1"/>
  <c r="I4" i="8"/>
  <c r="M4" i="8" s="1"/>
  <c r="I15" i="3"/>
  <c r="C14" i="3"/>
  <c r="K14" i="3" s="1"/>
  <c r="H52" i="3"/>
  <c r="I22" i="8"/>
  <c r="M22" i="8" s="1"/>
  <c r="N22" i="8" s="1"/>
  <c r="C9" i="5"/>
  <c r="I34" i="3"/>
  <c r="F34" i="3"/>
  <c r="K65" i="3"/>
  <c r="R11" i="3"/>
  <c r="S19" i="1" s="1"/>
  <c r="Q19" i="1"/>
  <c r="E64" i="3"/>
  <c r="E58" i="3"/>
  <c r="G66" i="3"/>
  <c r="G60" i="3"/>
  <c r="G54" i="3"/>
  <c r="O48" i="3"/>
  <c r="F68" i="3"/>
  <c r="I36" i="3"/>
  <c r="I18" i="3"/>
  <c r="K56" i="3"/>
  <c r="L56" i="3" s="1"/>
  <c r="I64" i="3"/>
  <c r="I58" i="3"/>
  <c r="E37" i="3"/>
  <c r="E35" i="3"/>
  <c r="G24" i="3"/>
  <c r="G33" i="3"/>
  <c r="B53" i="3"/>
  <c r="B65" i="3"/>
  <c r="C16" i="3"/>
  <c r="C37" i="3"/>
  <c r="C28" i="3"/>
  <c r="C68" i="3"/>
  <c r="C62" i="3"/>
  <c r="P28" i="3"/>
  <c r="P21" i="8"/>
  <c r="Q21" i="8" s="1"/>
  <c r="R21" i="8" s="1"/>
  <c r="O21" i="8"/>
  <c r="H17" i="3"/>
  <c r="H35" i="3"/>
  <c r="D25" i="3"/>
  <c r="D16" i="3"/>
  <c r="C53" i="3"/>
  <c r="C59" i="3"/>
  <c r="E17" i="3"/>
  <c r="E28" i="3"/>
  <c r="B59" i="3"/>
  <c r="R9" i="3"/>
  <c r="C34" i="3"/>
  <c r="H39" i="3"/>
  <c r="J24" i="3"/>
  <c r="H21" i="3"/>
  <c r="C21" i="3"/>
  <c r="C30" i="3"/>
  <c r="P37" i="3"/>
  <c r="F24" i="3"/>
  <c r="L24" i="3" s="1"/>
  <c r="D17" i="3"/>
  <c r="R68" i="3"/>
  <c r="Q68" i="3"/>
  <c r="O6" i="3"/>
  <c r="U6" i="3" s="1"/>
  <c r="R62" i="3"/>
  <c r="Q62" i="3"/>
  <c r="D38" i="3"/>
  <c r="W38" i="3" s="1"/>
  <c r="D20" i="3"/>
  <c r="F54" i="3"/>
  <c r="L54" i="3" s="1"/>
  <c r="F66" i="3"/>
  <c r="D60" i="3"/>
  <c r="P60" i="3" s="1"/>
  <c r="E61" i="3"/>
  <c r="E67" i="3"/>
  <c r="W7" i="8"/>
  <c r="J28" i="3"/>
  <c r="K23" i="3"/>
  <c r="I52" i="3"/>
  <c r="J32" i="3"/>
  <c r="E55" i="3"/>
  <c r="E18" i="3"/>
  <c r="E27" i="3"/>
  <c r="O8" i="3"/>
  <c r="E29" i="3"/>
  <c r="E20" i="3"/>
  <c r="E38" i="3"/>
  <c r="O10" i="3"/>
  <c r="E54" i="3"/>
  <c r="O46" i="3"/>
  <c r="G62" i="3"/>
  <c r="G68" i="3"/>
  <c r="H27" i="4"/>
  <c r="B12" i="4"/>
  <c r="AB30" i="13"/>
  <c r="F23" i="3"/>
  <c r="F19" i="3"/>
  <c r="L19" i="3" s="1"/>
  <c r="F37" i="3"/>
  <c r="D35" i="3"/>
  <c r="W35" i="3" s="1"/>
  <c r="B58" i="3"/>
  <c r="U44" i="3"/>
  <c r="B64" i="3"/>
  <c r="G61" i="3"/>
  <c r="G67" i="3"/>
  <c r="G55" i="3"/>
  <c r="B27" i="4"/>
  <c r="B28" i="4" s="1"/>
  <c r="B29" i="4" s="1"/>
  <c r="B30" i="4" s="1"/>
  <c r="I27" i="3"/>
  <c r="J38" i="3"/>
  <c r="H27" i="3"/>
  <c r="H18" i="3"/>
  <c r="H15" i="3"/>
  <c r="D53" i="3"/>
  <c r="P53" i="3" s="1"/>
  <c r="B60" i="3"/>
  <c r="I38" i="3"/>
  <c r="D15" i="3"/>
  <c r="F52" i="3"/>
  <c r="D58" i="3"/>
  <c r="F65" i="3"/>
  <c r="C61" i="3"/>
  <c r="I29" i="3"/>
  <c r="H37" i="3"/>
  <c r="H14" i="3"/>
  <c r="D52" i="3"/>
  <c r="F59" i="3"/>
  <c r="E34" i="4" l="1"/>
  <c r="L66" i="3"/>
  <c r="N66" i="3" s="1"/>
  <c r="L26" i="3"/>
  <c r="Q61" i="3"/>
  <c r="J19" i="8"/>
  <c r="Q138" i="1" s="1"/>
  <c r="G13" i="4"/>
  <c r="S84" i="1" s="1"/>
  <c r="AB36" i="13" s="1"/>
  <c r="L39" i="3"/>
  <c r="Q6" i="8"/>
  <c r="R6" i="8" s="1"/>
  <c r="S6" i="8" s="1"/>
  <c r="T6" i="8" s="1"/>
  <c r="M66" i="3"/>
  <c r="O66" i="3" s="1"/>
  <c r="N39" i="3"/>
  <c r="M39" i="3"/>
  <c r="O39" i="3" s="1"/>
  <c r="Q8" i="8"/>
  <c r="R8" i="8" s="1"/>
  <c r="S8" i="8" s="1"/>
  <c r="M60" i="3"/>
  <c r="O60" i="3" s="1"/>
  <c r="N60" i="3"/>
  <c r="M54" i="3"/>
  <c r="N54" i="3"/>
  <c r="W17" i="3"/>
  <c r="T49" i="3"/>
  <c r="S40" i="1" s="1"/>
  <c r="S18" i="12" s="1"/>
  <c r="W18" i="3"/>
  <c r="N67" i="3"/>
  <c r="M67" i="3"/>
  <c r="M55" i="3"/>
  <c r="O55" i="3" s="1"/>
  <c r="N55" i="3"/>
  <c r="F28" i="3"/>
  <c r="W28" i="3"/>
  <c r="R28" i="3"/>
  <c r="J22" i="8"/>
  <c r="Q141" i="1" s="1"/>
  <c r="W21" i="3"/>
  <c r="W20" i="3"/>
  <c r="N26" i="3"/>
  <c r="M26" i="3"/>
  <c r="O26" i="3" s="1"/>
  <c r="P30" i="3"/>
  <c r="Q30" i="3" s="1"/>
  <c r="R30" i="3"/>
  <c r="W30" i="3"/>
  <c r="N19" i="3"/>
  <c r="M19" i="3"/>
  <c r="N56" i="3"/>
  <c r="M56" i="3"/>
  <c r="Q9" i="8"/>
  <c r="R9" i="8" s="1"/>
  <c r="S9" i="8" s="1"/>
  <c r="F33" i="3"/>
  <c r="L33" i="3" s="1"/>
  <c r="M33" i="3" s="1"/>
  <c r="L64" i="3"/>
  <c r="N64" i="3" s="1"/>
  <c r="L32" i="4"/>
  <c r="Q5" i="8"/>
  <c r="R5" i="8" s="1"/>
  <c r="S5" i="8" s="1"/>
  <c r="T5" i="8" s="1"/>
  <c r="U5" i="8" s="1"/>
  <c r="W5" i="8" s="1"/>
  <c r="F16" i="3"/>
  <c r="W16" i="3"/>
  <c r="W25" i="3"/>
  <c r="W15" i="3"/>
  <c r="A30" i="13"/>
  <c r="G23" i="7"/>
  <c r="G24" i="7"/>
  <c r="G26" i="7"/>
  <c r="G25" i="7"/>
  <c r="G22" i="7"/>
  <c r="F32" i="3"/>
  <c r="L32" i="3" s="1"/>
  <c r="N32" i="3" s="1"/>
  <c r="N24" i="3"/>
  <c r="M24" i="3"/>
  <c r="O24" i="3" s="1"/>
  <c r="P24" i="3" s="1"/>
  <c r="R24" i="3" s="1"/>
  <c r="Q18" i="8"/>
  <c r="R18" i="8" s="1"/>
  <c r="S18" i="8" s="1"/>
  <c r="T18" i="8" s="1"/>
  <c r="U18" i="8" s="1"/>
  <c r="W18" i="8" s="1"/>
  <c r="J18" i="8" s="1"/>
  <c r="Q137" i="1" s="1"/>
  <c r="C28" i="7"/>
  <c r="H13" i="7" s="1"/>
  <c r="J13" i="7" s="1"/>
  <c r="K13" i="7" s="1"/>
  <c r="Q3" i="8"/>
  <c r="R3" i="8" s="1"/>
  <c r="S3" i="8" s="1"/>
  <c r="T3" i="8" s="1"/>
  <c r="U3" i="8" s="1"/>
  <c r="W3" i="8" s="1"/>
  <c r="J3" i="8" s="1"/>
  <c r="Q127" i="1" s="1"/>
  <c r="Q27" i="3"/>
  <c r="U12" i="3"/>
  <c r="S22" i="1" s="1"/>
  <c r="H6" i="6" s="1"/>
  <c r="X9" i="8"/>
  <c r="K9" i="8" s="1"/>
  <c r="S133" i="1" s="1"/>
  <c r="L65" i="3"/>
  <c r="J8" i="8"/>
  <c r="Q132" i="1" s="1"/>
  <c r="L52" i="3"/>
  <c r="L27" i="3"/>
  <c r="Q29" i="3"/>
  <c r="J21" i="8"/>
  <c r="Q140" i="1" s="1"/>
  <c r="L58" i="3"/>
  <c r="L29" i="3"/>
  <c r="Q54" i="3"/>
  <c r="N9" i="8"/>
  <c r="Q22" i="8"/>
  <c r="R22" i="8" s="1"/>
  <c r="S22" i="8" s="1"/>
  <c r="T22" i="8" s="1"/>
  <c r="S10" i="8"/>
  <c r="T10" i="8" s="1"/>
  <c r="P21" i="3"/>
  <c r="R21" i="3" s="1"/>
  <c r="O67" i="3"/>
  <c r="U49" i="3"/>
  <c r="S41" i="1" s="1"/>
  <c r="S19" i="12" s="1"/>
  <c r="N8" i="8"/>
  <c r="Q19" i="8"/>
  <c r="R19" i="8" s="1"/>
  <c r="S19" i="8" s="1"/>
  <c r="T19" i="8" s="1"/>
  <c r="Q55" i="3"/>
  <c r="Q59" i="3"/>
  <c r="F14" i="3"/>
  <c r="L14" i="3" s="1"/>
  <c r="W14" i="3" s="1"/>
  <c r="Q67" i="3"/>
  <c r="Q39" i="3"/>
  <c r="X20" i="8"/>
  <c r="K20" i="8" s="1"/>
  <c r="S139" i="1" s="1"/>
  <c r="T12" i="3"/>
  <c r="S21" i="1" s="1"/>
  <c r="B19" i="5" s="1"/>
  <c r="J6" i="8"/>
  <c r="Q130" i="1" s="1"/>
  <c r="L23" i="3"/>
  <c r="J10" i="8"/>
  <c r="Q134" i="1" s="1"/>
  <c r="S31" i="12"/>
  <c r="Q7" i="8"/>
  <c r="R7" i="8" s="1"/>
  <c r="S7" i="8" s="1"/>
  <c r="N7" i="8"/>
  <c r="S21" i="8"/>
  <c r="T21" i="8" s="1"/>
  <c r="R66" i="3"/>
  <c r="Q66" i="3"/>
  <c r="N20" i="8"/>
  <c r="Q20" i="8"/>
  <c r="R20" i="8" s="1"/>
  <c r="S20" i="8" s="1"/>
  <c r="N4" i="8"/>
  <c r="Q4" i="8"/>
  <c r="R4" i="8" s="1"/>
  <c r="S4" i="8" s="1"/>
  <c r="P36" i="3"/>
  <c r="F36" i="3"/>
  <c r="L36" i="3" s="1"/>
  <c r="L10" i="7"/>
  <c r="N12" i="7" s="1"/>
  <c r="P18" i="3"/>
  <c r="R18" i="3" s="1"/>
  <c r="F18" i="3"/>
  <c r="L18" i="3" s="1"/>
  <c r="O56" i="3"/>
  <c r="K68" i="3"/>
  <c r="L68" i="3" s="1"/>
  <c r="X7" i="8"/>
  <c r="K7" i="8" s="1"/>
  <c r="S131" i="1" s="1"/>
  <c r="J7" i="8"/>
  <c r="Q131" i="1" s="1"/>
  <c r="P17" i="3"/>
  <c r="R17" i="3" s="1"/>
  <c r="F17" i="3"/>
  <c r="L17" i="3" s="1"/>
  <c r="K28" i="3"/>
  <c r="L28" i="3" s="1"/>
  <c r="F38" i="3"/>
  <c r="L38" i="3" s="1"/>
  <c r="P38" i="3"/>
  <c r="K59" i="3"/>
  <c r="L59" i="3" s="1"/>
  <c r="K37" i="3"/>
  <c r="L37" i="3" s="1"/>
  <c r="E37" i="4"/>
  <c r="E36" i="4"/>
  <c r="F15" i="3"/>
  <c r="L15" i="3" s="1"/>
  <c r="K34" i="3"/>
  <c r="L34" i="3" s="1"/>
  <c r="K53" i="3"/>
  <c r="L53" i="3" s="1"/>
  <c r="K16" i="3"/>
  <c r="P35" i="3"/>
  <c r="F35" i="3"/>
  <c r="L35" i="3" s="1"/>
  <c r="R60" i="3"/>
  <c r="Q60" i="3"/>
  <c r="S17" i="1"/>
  <c r="B34" i="4"/>
  <c r="B35" i="4"/>
  <c r="R37" i="3"/>
  <c r="Q37" i="3"/>
  <c r="R53" i="3"/>
  <c r="Q53" i="3"/>
  <c r="K61" i="3"/>
  <c r="L61" i="3" s="1"/>
  <c r="O19" i="3"/>
  <c r="O54" i="3"/>
  <c r="K30" i="3"/>
  <c r="L30" i="3" s="1"/>
  <c r="Q28" i="3"/>
  <c r="P20" i="3"/>
  <c r="R20" i="3" s="1"/>
  <c r="F20" i="3"/>
  <c r="L20" i="3" s="1"/>
  <c r="K21" i="3"/>
  <c r="L21" i="3" s="1"/>
  <c r="F25" i="3"/>
  <c r="L25" i="3" s="1"/>
  <c r="K62" i="3"/>
  <c r="L62" i="3" s="1"/>
  <c r="T9" i="8" l="1"/>
  <c r="N68" i="3"/>
  <c r="M68" i="3"/>
  <c r="O68" i="3" s="1"/>
  <c r="M37" i="3"/>
  <c r="O37" i="3" s="1"/>
  <c r="N37" i="3"/>
  <c r="M61" i="3"/>
  <c r="N61" i="3"/>
  <c r="N53" i="3"/>
  <c r="M53" i="3"/>
  <c r="O53" i="3" s="1"/>
  <c r="M64" i="3"/>
  <c r="O64" i="3" s="1"/>
  <c r="P64" i="3" s="1"/>
  <c r="R64" i="3" s="1"/>
  <c r="N20" i="3"/>
  <c r="M20" i="3"/>
  <c r="O20" i="3" s="1"/>
  <c r="N38" i="3"/>
  <c r="M38" i="3"/>
  <c r="N65" i="3"/>
  <c r="M65" i="3"/>
  <c r="O65" i="3" s="1"/>
  <c r="M17" i="3"/>
  <c r="N17" i="3"/>
  <c r="N62" i="3"/>
  <c r="M62" i="3"/>
  <c r="O62" i="3" s="1"/>
  <c r="N28" i="3"/>
  <c r="M28" i="3"/>
  <c r="N29" i="3"/>
  <c r="M29" i="3"/>
  <c r="O29" i="3" s="1"/>
  <c r="M18" i="3"/>
  <c r="N18" i="3"/>
  <c r="M30" i="3"/>
  <c r="O30" i="3" s="1"/>
  <c r="N30" i="3"/>
  <c r="N35" i="3"/>
  <c r="M35" i="3"/>
  <c r="N27" i="3"/>
  <c r="M27" i="3"/>
  <c r="O27" i="3" s="1"/>
  <c r="N59" i="3"/>
  <c r="M59" i="3"/>
  <c r="O59" i="3" s="1"/>
  <c r="N36" i="3"/>
  <c r="M36" i="3"/>
  <c r="O36" i="3" s="1"/>
  <c r="M21" i="3"/>
  <c r="N21" i="3"/>
  <c r="L16" i="3"/>
  <c r="N16" i="3" s="1"/>
  <c r="N25" i="3"/>
  <c r="M25" i="3"/>
  <c r="O25" i="3" s="1"/>
  <c r="P25" i="3" s="1"/>
  <c r="R25" i="3" s="1"/>
  <c r="Q6" i="3" s="1"/>
  <c r="X5" i="8"/>
  <c r="K5" i="8" s="1"/>
  <c r="S129" i="1" s="1"/>
  <c r="J5" i="8"/>
  <c r="Q129" i="1" s="1"/>
  <c r="M34" i="3"/>
  <c r="O34" i="3" s="1"/>
  <c r="P34" i="3" s="1"/>
  <c r="N34" i="3"/>
  <c r="N33" i="3"/>
  <c r="O33" i="3" s="1"/>
  <c r="P33" i="3" s="1"/>
  <c r="M32" i="3"/>
  <c r="O32" i="3" s="1"/>
  <c r="P32" i="3" s="1"/>
  <c r="M15" i="3"/>
  <c r="N15" i="3"/>
  <c r="Q24" i="3"/>
  <c r="M58" i="3"/>
  <c r="O58" i="3" s="1"/>
  <c r="P58" i="3" s="1"/>
  <c r="R58" i="3" s="1"/>
  <c r="N58" i="3"/>
  <c r="X18" i="8"/>
  <c r="K18" i="8" s="1"/>
  <c r="S137" i="1" s="1"/>
  <c r="B19" i="13"/>
  <c r="B24" i="13" s="1"/>
  <c r="B25" i="13" s="1"/>
  <c r="B31" i="13" s="1"/>
  <c r="C29" i="7"/>
  <c r="H14" i="7" s="1"/>
  <c r="J14" i="7" s="1"/>
  <c r="K14" i="7" s="1"/>
  <c r="K15" i="7" s="1"/>
  <c r="M52" i="3"/>
  <c r="O52" i="3" s="1"/>
  <c r="N52" i="3"/>
  <c r="Q64" i="3"/>
  <c r="N23" i="3"/>
  <c r="M23" i="3"/>
  <c r="N14" i="3"/>
  <c r="M14" i="3"/>
  <c r="S15" i="12"/>
  <c r="D20" i="5"/>
  <c r="B20" i="5" s="1"/>
  <c r="B21" i="5" s="1"/>
  <c r="G8" i="4"/>
  <c r="G9" i="4" s="1"/>
  <c r="G10" i="4" s="1"/>
  <c r="X3" i="8"/>
  <c r="K3" i="8" s="1"/>
  <c r="S127" i="1" s="1"/>
  <c r="T8" i="8"/>
  <c r="Q21" i="3"/>
  <c r="H24" i="4"/>
  <c r="H5" i="6"/>
  <c r="H11" i="6" s="1"/>
  <c r="B3" i="6" s="1"/>
  <c r="B5" i="4"/>
  <c r="B7" i="4" s="1"/>
  <c r="S14" i="12"/>
  <c r="O18" i="3"/>
  <c r="V55" i="3"/>
  <c r="U61" i="3"/>
  <c r="U55" i="3"/>
  <c r="V61" i="3"/>
  <c r="T4" i="8"/>
  <c r="U4" i="8" s="1"/>
  <c r="W4" i="8" s="1"/>
  <c r="R36" i="3"/>
  <c r="Q36" i="3"/>
  <c r="Q18" i="3"/>
  <c r="T7" i="8"/>
  <c r="G27" i="7"/>
  <c r="C22" i="7" s="1"/>
  <c r="S149" i="1" s="1"/>
  <c r="T20" i="8"/>
  <c r="O21" i="3"/>
  <c r="O38" i="3"/>
  <c r="O61" i="3"/>
  <c r="Q20" i="3"/>
  <c r="B36" i="4"/>
  <c r="S103" i="1" s="1"/>
  <c r="B37" i="4"/>
  <c r="S56" i="1" s="1"/>
  <c r="U62" i="3"/>
  <c r="U56" i="3"/>
  <c r="V62" i="3"/>
  <c r="V56" i="3"/>
  <c r="O28" i="3"/>
  <c r="V54" i="3"/>
  <c r="V60" i="3"/>
  <c r="U60" i="3"/>
  <c r="U54" i="3"/>
  <c r="O35" i="3"/>
  <c r="O17" i="3"/>
  <c r="Q17" i="3"/>
  <c r="R35" i="3"/>
  <c r="Q35" i="3"/>
  <c r="Q38" i="3"/>
  <c r="R38" i="3"/>
  <c r="M16" i="3" l="1"/>
  <c r="O16" i="3" s="1"/>
  <c r="P16" i="3" s="1"/>
  <c r="R16" i="3" s="1"/>
  <c r="Q12" i="12"/>
  <c r="R6" i="3"/>
  <c r="S14" i="1" s="1"/>
  <c r="S12" i="12" s="1"/>
  <c r="Q25" i="3"/>
  <c r="R34" i="3"/>
  <c r="Q34" i="3"/>
  <c r="R32" i="3"/>
  <c r="O15" i="3"/>
  <c r="P15" i="3" s="1"/>
  <c r="J4" i="8"/>
  <c r="Q128" i="1" s="1"/>
  <c r="X4" i="8"/>
  <c r="K4" i="8" s="1"/>
  <c r="S128" i="1" s="1"/>
  <c r="S142" i="1" s="1"/>
  <c r="C33" i="7" s="1"/>
  <c r="R33" i="3"/>
  <c r="Q33" i="3"/>
  <c r="O14" i="3"/>
  <c r="P14" i="3" s="1"/>
  <c r="R14" i="3" s="1"/>
  <c r="O23" i="3"/>
  <c r="P23" i="3" s="1"/>
  <c r="Q23" i="3" s="1"/>
  <c r="Q58" i="3"/>
  <c r="C40" i="6"/>
  <c r="B40" i="6"/>
  <c r="C37" i="6"/>
  <c r="C36" i="6"/>
  <c r="B41" i="6"/>
  <c r="C38" i="6"/>
  <c r="B38" i="6"/>
  <c r="B37" i="6"/>
  <c r="B36" i="6"/>
  <c r="C35" i="6"/>
  <c r="B35" i="6"/>
  <c r="C43" i="6"/>
  <c r="B43" i="6"/>
  <c r="C42" i="6"/>
  <c r="B42" i="6"/>
  <c r="C41" i="6"/>
  <c r="P52" i="3"/>
  <c r="U58" i="3"/>
  <c r="V52" i="3"/>
  <c r="V58" i="3"/>
  <c r="U52" i="3"/>
  <c r="Q32" i="3"/>
  <c r="U53" i="3"/>
  <c r="U59" i="3"/>
  <c r="V53" i="3"/>
  <c r="V59" i="3"/>
  <c r="H25" i="4"/>
  <c r="H26" i="4" s="1"/>
  <c r="H28" i="4" s="1"/>
  <c r="H29" i="4" s="1"/>
  <c r="H30" i="4" s="1"/>
  <c r="H31" i="4" s="1"/>
  <c r="H32" i="4" s="1"/>
  <c r="H33" i="4" s="1"/>
  <c r="H34" i="4" s="1"/>
  <c r="S62" i="1" s="1"/>
  <c r="AB9" i="13"/>
  <c r="Q16" i="3" l="1"/>
  <c r="R23" i="3"/>
  <c r="R15" i="3"/>
  <c r="Q5" i="3" s="1"/>
  <c r="Q15" i="3"/>
  <c r="J74" i="1"/>
  <c r="S26" i="13" s="1"/>
  <c r="AB26" i="13" s="1"/>
  <c r="D43" i="6"/>
  <c r="D42" i="6"/>
  <c r="D38" i="6"/>
  <c r="D40" i="6"/>
  <c r="E40" i="6" s="1"/>
  <c r="D41" i="6"/>
  <c r="D35" i="6"/>
  <c r="E35" i="6" s="1"/>
  <c r="D36" i="6"/>
  <c r="D37" i="6"/>
  <c r="R52" i="3"/>
  <c r="Q44" i="3" s="1"/>
  <c r="Q52" i="3"/>
  <c r="Q4" i="3"/>
  <c r="R4" i="3" s="1"/>
  <c r="Q14" i="3"/>
  <c r="AB15" i="13"/>
  <c r="AB19" i="13" s="1"/>
  <c r="F7" i="13" s="1"/>
  <c r="S65" i="1"/>
  <c r="B8" i="4"/>
  <c r="B9" i="4" s="1"/>
  <c r="B11" i="4" s="1"/>
  <c r="G35" i="6" l="1"/>
  <c r="H35" i="6" s="1"/>
  <c r="B4" i="6" s="1"/>
  <c r="R5" i="3"/>
  <c r="S13" i="1" s="1"/>
  <c r="S11" i="12" s="1"/>
  <c r="Q13" i="1"/>
  <c r="Q11" i="12" s="1"/>
  <c r="S74" i="1"/>
  <c r="C18" i="7" s="1"/>
  <c r="Q33" i="1"/>
  <c r="R44" i="3"/>
  <c r="Q12" i="1"/>
  <c r="Q10" i="12" s="1"/>
  <c r="S12" i="1"/>
  <c r="S10" i="12" s="1"/>
  <c r="B14" i="4"/>
  <c r="B15" i="4" s="1"/>
  <c r="B16" i="4" s="1"/>
  <c r="B13" i="4"/>
  <c r="B17" i="4" s="1"/>
  <c r="A7" i="13"/>
  <c r="A8" i="13" s="1"/>
  <c r="B7" i="13"/>
  <c r="R12" i="3" l="1"/>
  <c r="S77" i="1"/>
  <c r="AB29" i="13" s="1"/>
  <c r="S33" i="1"/>
  <c r="R49" i="3"/>
  <c r="A9" i="13"/>
  <c r="B8" i="13"/>
  <c r="B18" i="4"/>
  <c r="B20" i="4" s="1"/>
  <c r="B21" i="4" s="1"/>
  <c r="S48" i="1" s="1"/>
  <c r="S111" i="1" l="1"/>
  <c r="S40" i="12" s="1"/>
  <c r="S20" i="12"/>
  <c r="S50" i="1"/>
  <c r="B9" i="13"/>
  <c r="A10" i="13"/>
  <c r="S69" i="1" l="1"/>
  <c r="S66" i="1"/>
  <c r="B10" i="13"/>
  <c r="B11" i="13" s="1"/>
  <c r="A11" i="13"/>
  <c r="S21" i="12"/>
  <c r="AB3" i="13"/>
  <c r="P6" i="4"/>
  <c r="F6" i="13" l="1"/>
  <c r="AB20" i="13"/>
  <c r="K28" i="4"/>
  <c r="K29" i="4" s="1"/>
  <c r="K30" i="4" s="1"/>
  <c r="K31" i="4" s="1"/>
  <c r="F8" i="13" l="1"/>
  <c r="R25" i="13"/>
  <c r="AB25" i="13" s="1"/>
  <c r="AB34" i="13" s="1"/>
  <c r="AB37" i="13" s="1"/>
  <c r="F9" i="13" s="1"/>
  <c r="AB38" i="13" l="1"/>
  <c r="AB39" i="13" s="1"/>
  <c r="F10" i="13" s="1"/>
  <c r="F11" i="13" s="1"/>
  <c r="S67" i="1" l="1"/>
  <c r="S23" i="12" s="1"/>
  <c r="B32" i="5" l="1"/>
  <c r="B34" i="5" s="1"/>
  <c r="B35" i="5" s="1"/>
  <c r="B36" i="5" s="1"/>
  <c r="B37" i="5" s="1"/>
  <c r="B22" i="5"/>
  <c r="B23" i="5" s="1"/>
  <c r="B24" i="5" s="1"/>
  <c r="I73" i="1"/>
  <c r="S73" i="1" s="1"/>
  <c r="S82" i="1" s="1"/>
  <c r="S143" i="1"/>
  <c r="S147" i="1" s="1"/>
  <c r="B5" i="6"/>
  <c r="S24" i="12"/>
  <c r="D9" i="7"/>
  <c r="N11" i="7" l="1"/>
  <c r="N13" i="7" s="1"/>
  <c r="N14" i="7" s="1"/>
  <c r="K16" i="7" s="1"/>
  <c r="K17" i="7" s="1"/>
  <c r="D31" i="7" s="1"/>
  <c r="S152" i="1" s="1"/>
  <c r="D13" i="7"/>
  <c r="D14" i="7" s="1"/>
  <c r="B29" i="6"/>
  <c r="C29" i="6"/>
  <c r="C22" i="6"/>
  <c r="C24" i="6"/>
  <c r="B22" i="6"/>
  <c r="B24" i="6"/>
  <c r="C30" i="6"/>
  <c r="C28" i="6"/>
  <c r="B30" i="6"/>
  <c r="B28" i="6"/>
  <c r="C25" i="6"/>
  <c r="C23" i="6"/>
  <c r="B25" i="6"/>
  <c r="B23" i="6"/>
  <c r="C27" i="6"/>
  <c r="B9" i="6"/>
  <c r="B11" i="6" s="1"/>
  <c r="F16" i="6" s="1"/>
  <c r="B27" i="6"/>
  <c r="S29" i="12"/>
  <c r="S85" i="1"/>
  <c r="S86" i="1" s="1"/>
  <c r="S87" i="1" s="1"/>
  <c r="B6" i="6"/>
  <c r="C23" i="7" l="1"/>
  <c r="C24" i="7" s="1"/>
  <c r="D23" i="6"/>
  <c r="D27" i="6"/>
  <c r="E27" i="6" s="1"/>
  <c r="D22" i="6"/>
  <c r="E22" i="6" s="1"/>
  <c r="D29" i="6"/>
  <c r="D30" i="6"/>
  <c r="B15" i="6"/>
  <c r="F15" i="6"/>
  <c r="D28" i="6"/>
  <c r="D25" i="6"/>
  <c r="D24" i="6"/>
  <c r="B14" i="6"/>
  <c r="F14" i="6"/>
  <c r="S148" i="1"/>
  <c r="C17" i="7"/>
  <c r="C19" i="7" s="1"/>
  <c r="C20" i="7" s="1"/>
  <c r="P7" i="4"/>
  <c r="P8" i="4" s="1"/>
  <c r="S32" i="12"/>
  <c r="C25" i="7" l="1"/>
  <c r="S150" i="1" s="1"/>
  <c r="G22" i="6"/>
  <c r="H22" i="6" s="1"/>
  <c r="B13" i="6" s="1"/>
  <c r="B16" i="6" s="1"/>
  <c r="B17" i="6" s="1"/>
  <c r="S113" i="1" s="1"/>
  <c r="S42" i="12" s="1"/>
  <c r="L34" i="4"/>
  <c r="L8" i="4"/>
  <c r="L33" i="4"/>
  <c r="K8" i="4"/>
  <c r="K9" i="4" s="1"/>
  <c r="D26" i="7" l="1"/>
  <c r="D32" i="7" s="1"/>
  <c r="L35" i="4"/>
  <c r="K10" i="4"/>
  <c r="L9" i="4"/>
  <c r="S151" i="1" l="1"/>
  <c r="S153" i="1"/>
  <c r="S47" i="12" s="1"/>
  <c r="D35" i="7"/>
  <c r="S155" i="1" s="1"/>
  <c r="S49" i="12" s="1"/>
  <c r="D34" i="7"/>
  <c r="S154" i="1" s="1"/>
  <c r="L10" i="4"/>
  <c r="K11" i="4"/>
  <c r="L11" i="4" l="1"/>
  <c r="L12" i="4" s="1"/>
  <c r="K12" i="4"/>
  <c r="S2" i="1"/>
  <c r="S48" i="12"/>
  <c r="S2" i="12" s="1"/>
  <c r="B12" i="5"/>
  <c r="B15" i="5" s="1"/>
  <c r="S33" i="12"/>
  <c r="B2" i="5"/>
  <c r="F3" i="5" s="1"/>
  <c r="F6" i="5" l="1"/>
  <c r="C6" i="5" s="1"/>
  <c r="F4" i="5"/>
  <c r="F5" i="5"/>
  <c r="C5" i="5" s="1"/>
  <c r="C3" i="5"/>
  <c r="C8" i="5" l="1"/>
  <c r="C10" i="5" s="1"/>
  <c r="C11" i="5" s="1"/>
  <c r="D10" i="5" s="1"/>
  <c r="B46" i="5" s="1"/>
  <c r="B47" i="5" s="1"/>
  <c r="B49" i="5" s="1"/>
  <c r="S114" i="1" s="1"/>
  <c r="S122" i="1" s="1"/>
  <c r="S43" i="12" s="1"/>
  <c r="C4" i="5"/>
  <c r="S88" i="1" l="1"/>
  <c r="S91" i="1" s="1"/>
  <c r="B25" i="5" s="1"/>
  <c r="B26" i="5" s="1"/>
  <c r="B27" i="5" l="1"/>
  <c r="S94" i="1" s="1"/>
  <c r="B38" i="5"/>
  <c r="S34" i="12"/>
  <c r="B39" i="5" l="1"/>
  <c r="B40" i="5" s="1"/>
  <c r="B41" i="5" s="1"/>
  <c r="B42" i="5" s="1"/>
  <c r="S97" i="1" s="1"/>
  <c r="S100" i="1" s="1"/>
  <c r="S101" i="1" s="1"/>
  <c r="S36" i="12" l="1"/>
  <c r="S37" i="12"/>
  <c r="S109" i="1"/>
  <c r="S124" i="1" s="1"/>
  <c r="S45" i="12" s="1"/>
  <c r="S38" i="12" l="1"/>
  <c r="S123" i="1"/>
  <c r="S44" i="12" s="1"/>
  <c r="I2" i="12" s="1"/>
  <c r="I2" i="1" l="1"/>
</calcChain>
</file>

<file path=xl/sharedStrings.xml><?xml version="1.0" encoding="utf-8"?>
<sst xmlns="http://schemas.openxmlformats.org/spreadsheetml/2006/main" count="908" uniqueCount="468">
  <si>
    <t>First Name</t>
  </si>
  <si>
    <t>Spouse Name</t>
  </si>
  <si>
    <t>Last Name</t>
  </si>
  <si>
    <t>Names</t>
  </si>
  <si>
    <t>Street Address</t>
  </si>
  <si>
    <t>City, State, Zip</t>
  </si>
  <si>
    <t>Single=1, Married Joint=2, Separate=3, Head Household=4, Widow(er)=5</t>
  </si>
  <si>
    <t>T/S</t>
  </si>
  <si>
    <t>EMPLOYER</t>
  </si>
  <si>
    <t>PAY PER YR</t>
  </si>
  <si>
    <t>PAY PER APPL</t>
  </si>
  <si>
    <t>GROSS TAXABLE PERIOD</t>
  </si>
  <si>
    <t>EXTRA</t>
  </si>
  <si>
    <t>LIST</t>
  </si>
  <si>
    <t>FEDERAL WITHHOLD PERIOD</t>
  </si>
  <si>
    <t>FEDERAL WITHHOLD YEAR</t>
  </si>
  <si>
    <t>PENSION</t>
  </si>
  <si>
    <t>15,16</t>
  </si>
  <si>
    <t>Dividends</t>
  </si>
  <si>
    <t>Rate:</t>
  </si>
  <si>
    <t>Social Security Benefits Gross</t>
  </si>
  <si>
    <t>Blind / Over 65 Enter #</t>
  </si>
  <si>
    <t>37,38</t>
  </si>
  <si>
    <t>Amount Paid</t>
  </si>
  <si>
    <t xml:space="preserve"> </t>
  </si>
  <si>
    <t xml:space="preserve">Dep Care Credit:  </t>
  </si>
  <si>
    <t>PAGE 2</t>
  </si>
  <si>
    <t>INCOME</t>
  </si>
  <si>
    <t>ADJUSTMENTS</t>
  </si>
  <si>
    <t>TAX AND CREDITS</t>
  </si>
  <si>
    <t>OTHER TAXES</t>
  </si>
  <si>
    <t>PAYMENTS</t>
  </si>
  <si>
    <t>Earned Income Credit: Qualifying Children</t>
  </si>
  <si>
    <t>Farm Income Taxpayer ……………………………………………………………………………………………..</t>
  </si>
  <si>
    <t>Farm Income Spouse ………………………………………………………………………………………………..</t>
  </si>
  <si>
    <t>SCHEDULE A</t>
  </si>
  <si>
    <t>T</t>
  </si>
  <si>
    <t>GROSS YEAR</t>
  </si>
  <si>
    <t>EXEMPTIONS</t>
  </si>
  <si>
    <t>FEDERAL WITHHOLD YEAR+EXTRA</t>
  </si>
  <si>
    <t>S</t>
  </si>
  <si>
    <t>M</t>
  </si>
  <si>
    <t>spouse gross</t>
  </si>
  <si>
    <t>taxpayer gross</t>
  </si>
  <si>
    <t>XXXXXXXXXXX</t>
  </si>
  <si>
    <t>PENSIONS</t>
  </si>
  <si>
    <t>WAGES</t>
  </si>
  <si>
    <t>PD</t>
  </si>
  <si>
    <t>PD APPL</t>
  </si>
  <si>
    <t>Business Income Spouse ……………………………………………………………………………………………..</t>
  </si>
  <si>
    <t>SS BENEFITS</t>
  </si>
  <si>
    <t>Tax Exempt</t>
  </si>
  <si>
    <t>STATUS</t>
  </si>
  <si>
    <t>SEP</t>
  </si>
  <si>
    <t>SS</t>
  </si>
  <si>
    <t>1/2</t>
  </si>
  <si>
    <t>OTHER</t>
  </si>
  <si>
    <t>TE</t>
  </si>
  <si>
    <t>TOT</t>
  </si>
  <si>
    <t>ADJ</t>
  </si>
  <si>
    <t>NET</t>
  </si>
  <si>
    <t>7-8</t>
  </si>
  <si>
    <t>9-10</t>
  </si>
  <si>
    <t>9or10</t>
  </si>
  <si>
    <t>2or13</t>
  </si>
  <si>
    <t>.85*11</t>
  </si>
  <si>
    <t>14+15</t>
  </si>
  <si>
    <t>1*.85</t>
  </si>
  <si>
    <t>16or17</t>
  </si>
  <si>
    <t>se taxpayer</t>
  </si>
  <si>
    <t>1a</t>
  </si>
  <si>
    <t>1b</t>
  </si>
  <si>
    <t>Other SS Wages</t>
  </si>
  <si>
    <t>se spouse</t>
  </si>
  <si>
    <t>State Taxes ………………………………………………………………………………………………………………….</t>
  </si>
  <si>
    <t>standard ded</t>
  </si>
  <si>
    <t>2a</t>
  </si>
  <si>
    <t>standard</t>
  </si>
  <si>
    <t>claim zero</t>
  </si>
  <si>
    <t>earned income</t>
  </si>
  <si>
    <t>smaller 1or3</t>
  </si>
  <si>
    <t>blind or 65</t>
  </si>
  <si>
    <t xml:space="preserve">add </t>
  </si>
  <si>
    <t>Medical Amt</t>
  </si>
  <si>
    <t>Student interest</t>
  </si>
  <si>
    <t>line 22</t>
  </si>
  <si>
    <t>round</t>
  </si>
  <si>
    <t>4-5</t>
  </si>
  <si>
    <t>married, or other</t>
  </si>
  <si>
    <t>interest</t>
  </si>
  <si>
    <t>7*1</t>
  </si>
  <si>
    <t>1-8</t>
  </si>
  <si>
    <t>single</t>
  </si>
  <si>
    <t>taxable</t>
  </si>
  <si>
    <t>TAX</t>
  </si>
  <si>
    <t>status</t>
  </si>
  <si>
    <t>married</t>
  </si>
  <si>
    <t>separate</t>
  </si>
  <si>
    <t>head</t>
  </si>
  <si>
    <t>by status</t>
  </si>
  <si>
    <t>Schedule d</t>
  </si>
  <si>
    <t>net</t>
  </si>
  <si>
    <t>add cap gains</t>
  </si>
  <si>
    <t>Qualifying</t>
  </si>
  <si>
    <t>qual CG</t>
  </si>
  <si>
    <t>Total tax</t>
  </si>
  <si>
    <t>CREDITS</t>
  </si>
  <si>
    <t>Mortgage Interest #1 …….</t>
  </si>
  <si>
    <t>#2 …………….</t>
  </si>
  <si>
    <t>#3 ……</t>
  </si>
  <si>
    <t>CHILD CARE CREDIT</t>
  </si>
  <si>
    <t>ROUND</t>
  </si>
  <si>
    <t>child tax credit</t>
  </si>
  <si>
    <t>paid</t>
  </si>
  <si>
    <t>income</t>
  </si>
  <si>
    <t>spouse income</t>
  </si>
  <si>
    <t>lesser</t>
  </si>
  <si>
    <t>AGI</t>
  </si>
  <si>
    <t>RATE</t>
  </si>
  <si>
    <t>CREDIT</t>
  </si>
  <si>
    <t>TAX AFTER CREDITS</t>
  </si>
  <si>
    <t>cc credit</t>
  </si>
  <si>
    <t>agi</t>
  </si>
  <si>
    <t>status limit</t>
  </si>
  <si>
    <t>phase out</t>
  </si>
  <si>
    <t>round up</t>
  </si>
  <si>
    <t>x.05</t>
  </si>
  <si>
    <t>TAX CREDIT TENTATIVE</t>
  </si>
  <si>
    <t>TAX CREDITS</t>
  </si>
  <si>
    <t>47-50</t>
  </si>
  <si>
    <t>7 AND 8 THE SAME</t>
  </si>
  <si>
    <t>MIN</t>
  </si>
  <si>
    <t>EIC</t>
  </si>
  <si>
    <t>EARNED INCOME</t>
  </si>
  <si>
    <t>QUAL CHILDREN</t>
  </si>
  <si>
    <t>5A</t>
  </si>
  <si>
    <t>5B</t>
  </si>
  <si>
    <t>YES 5</t>
  </si>
  <si>
    <t>EIC TABLES</t>
  </si>
  <si>
    <t>&gt;2</t>
  </si>
  <si>
    <t>if &lt;0</t>
  </si>
  <si>
    <t>middle</t>
  </si>
  <si>
    <t>single or head</t>
  </si>
  <si>
    <t>qual</t>
  </si>
  <si>
    <t>eic</t>
  </si>
  <si>
    <t>PAY PERIOD/ YR</t>
  </si>
  <si>
    <t>PAY PERIOD APPLY</t>
  </si>
  <si>
    <t>MARRIED SINGLE</t>
  </si>
  <si>
    <t>EXTRA WITHHOLDING</t>
  </si>
  <si>
    <t>Agi</t>
  </si>
  <si>
    <t>EIC EARNED INCOME</t>
  </si>
  <si>
    <t>EIC AGI</t>
  </si>
  <si>
    <t>NO 5</t>
  </si>
  <si>
    <t>6A</t>
  </si>
  <si>
    <t>1 AND 3 THE SAME</t>
  </si>
  <si>
    <t>1 AND 3 THE SAME - FINAL EIC</t>
  </si>
  <si>
    <t>MARRIED OR SINGLE</t>
  </si>
  <si>
    <t>6B</t>
  </si>
  <si>
    <t>5 A OR B ARE TRUE -FINAL EIC</t>
  </si>
  <si>
    <t>6C</t>
  </si>
  <si>
    <t>5 A OR B IS TRUE</t>
  </si>
  <si>
    <t>WHICH EIC</t>
  </si>
  <si>
    <t>EIC AGI LESSER 2 OR 6</t>
  </si>
  <si>
    <t>6 FINAL</t>
  </si>
  <si>
    <t>FINAL EIC</t>
  </si>
  <si>
    <t>w2 t</t>
  </si>
  <si>
    <t>wt s</t>
  </si>
  <si>
    <t>c t</t>
  </si>
  <si>
    <t>c s</t>
  </si>
  <si>
    <t>f t</t>
  </si>
  <si>
    <t>f c</t>
  </si>
  <si>
    <t>total</t>
  </si>
  <si>
    <t>1040 line 51 or 10 above</t>
  </si>
  <si>
    <t>subtract but not &lt;0</t>
  </si>
  <si>
    <t xml:space="preserve">Add SS on deferred Wages </t>
  </si>
  <si>
    <t>Additional child tax credit</t>
  </si>
  <si>
    <t>State of Utah</t>
  </si>
  <si>
    <t>Name:</t>
  </si>
  <si>
    <t>name</t>
  </si>
  <si>
    <t>Status (Single,Married,Separate, Head)</t>
  </si>
  <si>
    <t>Exemptions</t>
  </si>
  <si>
    <t>Taxpayer Age</t>
  </si>
  <si>
    <t>Spouse Age</t>
  </si>
  <si>
    <t>Federal AGI</t>
  </si>
  <si>
    <t>Additions</t>
  </si>
  <si>
    <t>Subtractions</t>
  </si>
  <si>
    <t>Taxable Income</t>
  </si>
  <si>
    <t>Itemezed Ded or Standard</t>
  </si>
  <si>
    <t>State Income Tax (itemize)</t>
  </si>
  <si>
    <t>Total Deductions</t>
  </si>
  <si>
    <t>6% of 12</t>
  </si>
  <si>
    <t>Phase Out Amount</t>
  </si>
  <si>
    <t>Line 7 less 14</t>
  </si>
  <si>
    <t>Line 15 x.013</t>
  </si>
  <si>
    <t>Tax Credit Line 13  less 16</t>
  </si>
  <si>
    <t>Income Tax</t>
  </si>
  <si>
    <t>Taxpayer Pensions</t>
  </si>
  <si>
    <t>Spouse Pensions</t>
  </si>
  <si>
    <t>Retirement Credit(non refundable)</t>
  </si>
  <si>
    <t>Net tax</t>
  </si>
  <si>
    <t>Withholding</t>
  </si>
  <si>
    <t>Balance Due</t>
  </si>
  <si>
    <t>Refund</t>
  </si>
  <si>
    <t>reduction</t>
  </si>
  <si>
    <t>credit</t>
  </si>
  <si>
    <t>AGE</t>
  </si>
  <si>
    <t>RETIREMENT</t>
  </si>
  <si>
    <t>65??</t>
  </si>
  <si>
    <t>TAXPAYER</t>
  </si>
  <si>
    <t>SPOUSE</t>
  </si>
  <si>
    <t>retirement</t>
  </si>
  <si>
    <t>Age</t>
  </si>
  <si>
    <t>UTAH WITHHOLD PERIOD</t>
  </si>
  <si>
    <t>UTAH WITHHOLD YEAR</t>
  </si>
  <si>
    <t>GROSS YEAR AT FULL YEAR</t>
  </si>
  <si>
    <t>divide by 15k or 30k</t>
  </si>
  <si>
    <t>Interest ………………………………………………………………………………………………………………………………..</t>
  </si>
  <si>
    <t>Business Income Taxapayer …………………………………………………………………………………………..</t>
  </si>
  <si>
    <t xml:space="preserve"> ……………………………</t>
  </si>
  <si>
    <t>Moving Expenses Form 3903……………………………………………………………………………………………</t>
  </si>
  <si>
    <t>………….</t>
  </si>
  <si>
    <t>A1</t>
  </si>
  <si>
    <t>A4</t>
  </si>
  <si>
    <t>A5</t>
  </si>
  <si>
    <t>A6</t>
  </si>
  <si>
    <t>A7</t>
  </si>
  <si>
    <t>A15</t>
  </si>
  <si>
    <t>A19</t>
  </si>
  <si>
    <t>A28</t>
  </si>
  <si>
    <t>A30</t>
  </si>
  <si>
    <t>………..</t>
  </si>
  <si>
    <t>Total Withholding …………………………………………………………………………………………………………………….</t>
  </si>
  <si>
    <t>Federal AGI ……………………………………………………………………………………………………………………..</t>
  </si>
  <si>
    <t>Additions …………………………………………………………………………………………………………………………</t>
  </si>
  <si>
    <t>State Refund…………………………………………………………………………………………………………………….</t>
  </si>
  <si>
    <t>Subtractions …………………………………………………………………………………………………………………….</t>
  </si>
  <si>
    <t>Taxable Income ……………………………………………………………………………………………………………….</t>
  </si>
  <si>
    <t>FEDERAL REFUND+ OR BALANCE-</t>
  </si>
  <si>
    <t>STATE REFUND+ OR BALANCE-</t>
  </si>
  <si>
    <t>blind</t>
  </si>
  <si>
    <t>pay period</t>
  </si>
  <si>
    <t>cgain data validation</t>
  </si>
  <si>
    <t>taxpayer</t>
  </si>
  <si>
    <t>not more than total</t>
  </si>
  <si>
    <t>status==================</t>
  </si>
  <si>
    <t>Taxpayer/ Spouse</t>
  </si>
  <si>
    <t>claim</t>
  </si>
  <si>
    <t>cgasin rates</t>
  </si>
  <si>
    <t>66a</t>
  </si>
  <si>
    <t>.Taxpayer /Spouse</t>
  </si>
  <si>
    <t>min</t>
  </si>
  <si>
    <t>number of children&gt;&gt;&gt;&gt;&gt;&gt;</t>
  </si>
  <si>
    <t>limit 1400*kids</t>
  </si>
  <si>
    <t>refundable</t>
  </si>
  <si>
    <t>LT Capital Gains</t>
  </si>
  <si>
    <t>Professional  (place "x")</t>
  </si>
  <si>
    <t>pass through deduction</t>
  </si>
  <si>
    <t>limit M/S</t>
  </si>
  <si>
    <t>pass through income Prof</t>
  </si>
  <si>
    <t>c tax</t>
  </si>
  <si>
    <t>c spo</t>
  </si>
  <si>
    <t>e1</t>
  </si>
  <si>
    <t>e2</t>
  </si>
  <si>
    <t xml:space="preserve">Total </t>
  </si>
  <si>
    <t>deduction</t>
  </si>
  <si>
    <t>agi less ptd</t>
  </si>
  <si>
    <t>Dependants &lt;17</t>
  </si>
  <si>
    <t>Dependants &gt;16</t>
  </si>
  <si>
    <t>qualifying x2000</t>
  </si>
  <si>
    <t>Other dependants</t>
  </si>
  <si>
    <t>line 1 above</t>
  </si>
  <si>
    <t>ord</t>
  </si>
  <si>
    <t>f tax</t>
  </si>
  <si>
    <t>f spo</t>
  </si>
  <si>
    <t>DIF</t>
  </si>
  <si>
    <t>Total</t>
  </si>
  <si>
    <t>Partnerships, Scorporations Sch E (active)……..</t>
  </si>
  <si>
    <t>Additional Child Tax Credit ……………………………………………………………………………………….</t>
  </si>
  <si>
    <t>tax</t>
  </si>
  <si>
    <t>rate</t>
  </si>
  <si>
    <t>1.8.19</t>
  </si>
  <si>
    <t>Flat Tax 4.95</t>
  </si>
  <si>
    <t>add</t>
  </si>
  <si>
    <t>per pay</t>
  </si>
  <si>
    <t>totla per pay</t>
  </si>
  <si>
    <t>totla year</t>
  </si>
  <si>
    <t>Bonus pay period=1</t>
  </si>
  <si>
    <t>Bonus</t>
  </si>
  <si>
    <t>Tax &amp; W4 Planner 2020</t>
  </si>
  <si>
    <t>add 350 or 1100</t>
  </si>
  <si>
    <t>.MARRIED SINGLE, HEAD</t>
  </si>
  <si>
    <t>H</t>
  </si>
  <si>
    <t>CHILD TAX CREDIT</t>
  </si>
  <si>
    <t>Child Credit &lt;17=2000, &gt;16=500</t>
  </si>
  <si>
    <t>OTHER INCOME</t>
  </si>
  <si>
    <t>EXCESS DEDUCTION</t>
  </si>
  <si>
    <t>2 JOBS</t>
  </si>
  <si>
    <t>YN</t>
  </si>
  <si>
    <t>Y</t>
  </si>
  <si>
    <t>N</t>
  </si>
  <si>
    <t>MAR SIGL HEAD</t>
  </si>
  <si>
    <t>EXCESS DEDUCTIONS</t>
  </si>
  <si>
    <t>YEAR</t>
  </si>
  <si>
    <t>CT CREDIT</t>
  </si>
  <si>
    <t>ADJUSTED YR WAGE</t>
  </si>
  <si>
    <t>OTHER+</t>
  </si>
  <si>
    <t>DED-</t>
  </si>
  <si>
    <t>2 JOBS-</t>
  </si>
  <si>
    <t>YR WAGE calc</t>
  </si>
  <si>
    <t>WITHHOLDING yr box checked</t>
  </si>
  <si>
    <t>WITHHOLDING YR BOX NOT CHECKED</t>
  </si>
  <si>
    <t>withholding  YR FINAL</t>
  </si>
  <si>
    <t>PAY PERIOD +EXTRA</t>
  </si>
  <si>
    <t>YEAR TOTAL BY PERIOD APPLIED</t>
  </si>
  <si>
    <t>xxxxxxxxxxxxx</t>
  </si>
  <si>
    <t>7.5%</t>
  </si>
  <si>
    <t>Total Income ……………………………………………………………………………………………………………………….................</t>
  </si>
  <si>
    <t>Educator Expenses ……………………………………………………………………………………………………………..................</t>
  </si>
  <si>
    <t>Form 2106 for Reservists, Performning Artists ………………………………………………………………….................</t>
  </si>
  <si>
    <t>HSA Expenses  for 8889 ……………………………………………………………………………………………………...................</t>
  </si>
  <si>
    <t>Self Employment Deduction ……………………………………………………………………………………………...................</t>
  </si>
  <si>
    <t>SEP or Simple Plans …………………………………………………………………………………………………………….................</t>
  </si>
  <si>
    <t>Self Employment Health Insurance Deduction ………………………………………………………………...................</t>
  </si>
  <si>
    <t>Penalty for Early Withdrawls ……………………………………………………………………………………………..................</t>
  </si>
  <si>
    <t>Alimony Paid ………………………………………………………………………………………………………………………................</t>
  </si>
  <si>
    <t>IRA Deduction …………………………………………………………………………………………………………………….................</t>
  </si>
  <si>
    <t>Student Loan Interest Deduction ………………………………………………………………………………........................</t>
  </si>
  <si>
    <t xml:space="preserve">  Net Deduction ………………………………….......................</t>
  </si>
  <si>
    <t>Tuition and Fees Form 8917 ……………………………………………………………………………………………….................</t>
  </si>
  <si>
    <t>Total Lines 23 through 35 …………………………………………………………………………………………………..................</t>
  </si>
  <si>
    <t>Adjusted Gross Income. …………………………………………………………………………………………………….................</t>
  </si>
  <si>
    <t xml:space="preserve">  Deductable Medical Expenses ………….......................</t>
  </si>
  <si>
    <t>Taxable………………………………………........................</t>
  </si>
  <si>
    <t>Unemployment ……………………………………………………………………………………………………………………...............</t>
  </si>
  <si>
    <t>Other Income ……………………………………………………………………………………………………………………..................</t>
  </si>
  <si>
    <t>ST Gains &amp; Other Gains and Losses (Form 4797)……………………………………………………………………................</t>
  </si>
  <si>
    <t>Wages Taxpayer…………………………………………………………………………………………………………………...................</t>
  </si>
  <si>
    <t>Wages Spouse……………………………………………………………………………………………………………………....................</t>
  </si>
  <si>
    <t>Taxable Refunds………………………………………………………………………………………………………………......................</t>
  </si>
  <si>
    <t>Alimony Income ………………………………………………………………………………………………………………......................</t>
  </si>
  <si>
    <t>Rental Real Estate, Royalties, Trusts Schedule E (passive)…………………………………...…….........................</t>
  </si>
  <si>
    <t>Property Taxes ……………………………………………………………………………………………………………………..................</t>
  </si>
  <si>
    <t>Other Taxes ……………………………………………………………………………………………………………………….....................</t>
  </si>
  <si>
    <t>Total Taxes ……………………………………………………………………………………………………………………........................</t>
  </si>
  <si>
    <t>Charity …………………………………………………………………………………………………………………………………..................</t>
  </si>
  <si>
    <t>Causulty Loss (federal Disaster only) …………………………………………………………………………….......................</t>
  </si>
  <si>
    <t>Total Itemized Deductions …………………………………………………………………………………………………….................</t>
  </si>
  <si>
    <t>Standard Deductions………………...………………………………………………………………………………………....................</t>
  </si>
  <si>
    <t>Itemized Deductions or Standard………………………………………………………………………………………...................</t>
  </si>
  <si>
    <t>Subtract 40 from 38 ……………………………………………………………………………………………………………....................</t>
  </si>
  <si>
    <t>Taxable Income ………………………………………………………………………………………………………………….....................</t>
  </si>
  <si>
    <t>Tax ……………………………………………………………………………………………………………………………………........................</t>
  </si>
  <si>
    <t>AMT Tax …………………………………………………………………………………………………………………………….......................</t>
  </si>
  <si>
    <t>Adavance premium tax credit…………………………………………………………………………………………........................</t>
  </si>
  <si>
    <t>Add 44 through 46 …………………………………………………………………………………………………………………….................</t>
  </si>
  <si>
    <t>Foreign Tax Credit …………………………………………………………………………………………………………….....................</t>
  </si>
  <si>
    <t>Education Credit ……………………………………………………………………………………………………………….......................</t>
  </si>
  <si>
    <t>Retirement Savings Credit ………………………………………………………………………………………………......................</t>
  </si>
  <si>
    <t>Child Tax Credit ….............................................................................................................................</t>
  </si>
  <si>
    <t>Residentail Energy Credit ………………………………………………………………………………………………….....................</t>
  </si>
  <si>
    <t>Other Credits 3800,8801 …………………………………………………………………………………………………….......................</t>
  </si>
  <si>
    <t>Total Credits Lines 47 throughh 53 …………………………………………………………………………………….......................</t>
  </si>
  <si>
    <t>Tax Less Credits Subtract line 54 from line 46 …………………………………………………………………...........................</t>
  </si>
  <si>
    <t>Self employment Taxes ……………………………………………………………………………………………………....................</t>
  </si>
  <si>
    <t>Unreported Scoial Security and Medicare Tax form 4137, 8919 ……………………………………….......................</t>
  </si>
  <si>
    <t>Additional Tax on IRS Attach Form 5329 …………………………………………………………………………........................</t>
  </si>
  <si>
    <t>Total Tax …………………………………………………………………………………………………………………………….......................</t>
  </si>
  <si>
    <t>Federal Income Taxes Withheld ……………………………………………………………………………………….....................</t>
  </si>
  <si>
    <t>Estimated Payments ………………………………………………………………………………………………………….....................</t>
  </si>
  <si>
    <t>American Opportunity Credit …………………………………………………………………………………………........................</t>
  </si>
  <si>
    <t>Excess Social Security Tax ………………………………………………………………………………………………….......................</t>
  </si>
  <si>
    <t>Credit for Fuels Tax ……………………………………………………………………………………………………………......................</t>
  </si>
  <si>
    <t>Credits Forms 2439,8839,8801,8885 ………………………………………………………………………………….......................</t>
  </si>
  <si>
    <t>Total Payments …………………………………………………………………………………………………………………........................</t>
  </si>
  <si>
    <t>REFUND ……………………………………………………………………………………………………………………………...........................</t>
  </si>
  <si>
    <t>AMOUNT YOU OWE …………………………………………………………………………………………………………............................</t>
  </si>
  <si>
    <t>Taxable………………………………......................</t>
  </si>
  <si>
    <t xml:space="preserve"> …………………………………………........................</t>
  </si>
  <si>
    <t>Pensions Spouse………………………………………………………………………………………………………….......15,16</t>
  </si>
  <si>
    <t>Pensions Taxpayer…………………………………………………………………………………………………………….15,16</t>
  </si>
  <si>
    <t>Paid in 2019</t>
  </si>
  <si>
    <t>State Tax Flat 4.95% ………………………………..……………………………………………………………………....</t>
  </si>
  <si>
    <t>Phase Out …………………………………………………………………………………………………………………………..</t>
  </si>
  <si>
    <t>Taxpayer Credit …………………………………………………………………………………………………………………</t>
  </si>
  <si>
    <t>Tax ………………………………………………………………………………………………………………………………………</t>
  </si>
  <si>
    <t>Nonrefundable Credits (Retirement)…………………………………………………………………………………</t>
  </si>
  <si>
    <t>AMOUNT YOU OWE …………………………………………………………………………………………………………........</t>
  </si>
  <si>
    <t>REFUND …………………………………………………………………………………………………………………………….......</t>
  </si>
  <si>
    <t>Other Itemized Deductions  …………………………………………………………………............................</t>
  </si>
  <si>
    <t>Total Adjustments …………………………………………………………………………………………………..................</t>
  </si>
  <si>
    <t>?????</t>
  </si>
  <si>
    <t>specified service</t>
  </si>
  <si>
    <t>Qualified Business Income Deduction (over threshhold)…………………………………………………......................</t>
  </si>
  <si>
    <t>Qualified Business Income Deduction Calculated (under threshhold)…………………………………………………......................</t>
  </si>
  <si>
    <t>agi-qbi</t>
  </si>
  <si>
    <t>ded</t>
  </si>
  <si>
    <t>tax-qbi</t>
  </si>
  <si>
    <t>before qbi</t>
  </si>
  <si>
    <t>adj</t>
  </si>
  <si>
    <t>limit taxes</t>
  </si>
  <si>
    <t>NOT USED SEE OYTHER TAB</t>
  </si>
  <si>
    <t>check for below zero</t>
  </si>
  <si>
    <t>Tax &amp; W4 Planner 2021</t>
  </si>
  <si>
    <t>4,5</t>
  </si>
  <si>
    <t>Pensions Taxpayer…………………………………………………………………………………………………………….</t>
  </si>
  <si>
    <t>1-1</t>
  </si>
  <si>
    <t>1-5</t>
  </si>
  <si>
    <t>1-2</t>
  </si>
  <si>
    <t>1-3</t>
  </si>
  <si>
    <t>1-4</t>
  </si>
  <si>
    <t>1-6</t>
  </si>
  <si>
    <t>1-7</t>
  </si>
  <si>
    <t>1-10</t>
  </si>
  <si>
    <t>1-11</t>
  </si>
  <si>
    <t>1-12</t>
  </si>
  <si>
    <t>1-14</t>
  </si>
  <si>
    <t>1-15</t>
  </si>
  <si>
    <t>1-16</t>
  </si>
  <si>
    <t>1-17</t>
  </si>
  <si>
    <t>1-18</t>
  </si>
  <si>
    <t>1-19</t>
  </si>
  <si>
    <t>1-20</t>
  </si>
  <si>
    <t>1-21</t>
  </si>
  <si>
    <t>Itemized Deductions or Standard …………………………………………………...................................</t>
  </si>
  <si>
    <t>PAGE 2 TAX AND CREDITS</t>
  </si>
  <si>
    <t>10b</t>
  </si>
  <si>
    <t>Charity Contributions non itemized …..........................................................................</t>
  </si>
  <si>
    <t>10c</t>
  </si>
  <si>
    <t>Total Adjustmenst Schedule 1 + 10b …………………………………………………………………………………………………..................</t>
  </si>
  <si>
    <t>Paid in 2020</t>
  </si>
  <si>
    <t>Qual Child</t>
  </si>
  <si>
    <t>Add 12 and 13 ……………………………………………………………………………………………………………....................</t>
  </si>
  <si>
    <t>s</t>
  </si>
  <si>
    <t>withholding  YR FINAL box check</t>
  </si>
  <si>
    <t>update 1-8-21</t>
  </si>
  <si>
    <t>update1-7-21</t>
  </si>
  <si>
    <t>update 1-9-21</t>
  </si>
  <si>
    <t>$590 times Exemptions</t>
  </si>
  <si>
    <t>Refund (sched A)</t>
  </si>
  <si>
    <t>utah tables publication 14</t>
  </si>
  <si>
    <t>t</t>
  </si>
  <si>
    <t>Qualified Business Income Deduction …………………………………………………...........................</t>
  </si>
  <si>
    <t>3-1</t>
  </si>
  <si>
    <t>3-2</t>
  </si>
  <si>
    <t>3-3</t>
  </si>
  <si>
    <t>3-4</t>
  </si>
  <si>
    <t>3-5</t>
  </si>
  <si>
    <t>3-6</t>
  </si>
  <si>
    <t>Tax Less Credits Subtract line 3-7 from line 2-3 …………………………………………………………………...........................</t>
  </si>
  <si>
    <t>2-4</t>
  </si>
  <si>
    <t>2-5</t>
  </si>
  <si>
    <t>2-6</t>
  </si>
  <si>
    <t>2-7</t>
  </si>
  <si>
    <t>2-8</t>
  </si>
  <si>
    <t>Household Employment Taxes &amp; First Time Homebuyer Repayment …………………………………………………………………………………………......................</t>
  </si>
  <si>
    <t>Taxes Form 8959 and 8960 …...........................................................................................</t>
  </si>
  <si>
    <t>2-9</t>
  </si>
  <si>
    <t>Section 965 Net tax Liability Installment….......................................................................</t>
  </si>
  <si>
    <t>2-10</t>
  </si>
  <si>
    <t>Recovery Rebate Credit …...............................................................................................</t>
  </si>
  <si>
    <t>Net Premium Tax Credit…...............................................................................................</t>
  </si>
  <si>
    <t>Amount Paid with Extension …...............................................................................................</t>
  </si>
  <si>
    <t>3-8</t>
  </si>
  <si>
    <t>3-9</t>
  </si>
  <si>
    <t>3-10</t>
  </si>
  <si>
    <t>3-11</t>
  </si>
  <si>
    <t>3-12</t>
  </si>
  <si>
    <t>Total Credits Lines 3-1 throughh 3-7 + Child Tax Credit………………………………………………………………………………….......................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</si>
</sst>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&quot;$&quot;#,##0"/>
    <numFmt numFmtId="167" formatCode="0.0%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696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5" borderId="3" xfId="0" applyFill="1" applyBorder="1"/>
    <xf numFmtId="0" fontId="0" fillId="5" borderId="0" xfId="0" applyFill="1"/>
    <xf numFmtId="0" fontId="0" fillId="0" borderId="0" xfId="0" applyAlignment="1">
      <alignment horizontal="center"/>
    </xf>
    <xf numFmtId="0" fontId="0" fillId="5" borderId="2" xfId="0" applyFill="1" applyBorder="1" applyAlignment="1">
      <alignment horizontal="center" vertical="center" textRotation="90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165" fontId="3" fillId="0" borderId="1" xfId="1" applyNumberFormat="1" applyBorder="1" applyAlignment="1">
      <alignment horizontal="left"/>
    </xf>
    <xf numFmtId="165" fontId="3" fillId="0" borderId="1" xfId="1" applyNumberFormat="1" applyBorder="1" applyAlignment="1">
      <alignment horizontal="center"/>
    </xf>
    <xf numFmtId="0" fontId="4" fillId="6" borderId="0" xfId="0" applyFont="1" applyFill="1"/>
    <xf numFmtId="0" fontId="0" fillId="6" borderId="0" xfId="0" applyFill="1"/>
    <xf numFmtId="0" fontId="0" fillId="6" borderId="0" xfId="0" applyFill="1" applyAlignment="1">
      <alignment horizontal="center"/>
    </xf>
    <xf numFmtId="0" fontId="0" fillId="6" borderId="2" xfId="0" applyFill="1" applyBorder="1" applyAlignment="1">
      <alignment horizontal="center"/>
    </xf>
    <xf numFmtId="165" fontId="0" fillId="0" borderId="0" xfId="0" applyNumberFormat="1"/>
    <xf numFmtId="43" fontId="0" fillId="0" borderId="0" xfId="0" applyNumberFormat="1"/>
    <xf numFmtId="9" fontId="3" fillId="0" borderId="0" xfId="3" applyAlignment="1">
      <alignment horizontal="center"/>
    </xf>
    <xf numFmtId="49" fontId="0" fillId="0" borderId="2" xfId="0" applyNumberFormat="1" applyBorder="1"/>
    <xf numFmtId="165" fontId="3" fillId="0" borderId="0" xfId="1" applyNumberFormat="1"/>
    <xf numFmtId="0" fontId="0" fillId="5" borderId="4" xfId="0" applyFill="1" applyBorder="1" applyAlignment="1">
      <alignment horizontal="center" vertical="center" wrapText="1"/>
    </xf>
    <xf numFmtId="165" fontId="3" fillId="0" borderId="2" xfId="1" applyNumberFormat="1" applyBorder="1"/>
    <xf numFmtId="0" fontId="0" fillId="0" borderId="0" xfId="0" applyAlignment="1">
      <alignment wrapText="1"/>
    </xf>
    <xf numFmtId="16" fontId="0" fillId="0" borderId="0" xfId="0" applyNumberFormat="1"/>
    <xf numFmtId="16" fontId="0" fillId="0" borderId="0" xfId="0" quotePrefix="1" applyNumberFormat="1"/>
    <xf numFmtId="0" fontId="0" fillId="0" borderId="0" xfId="0" quotePrefix="1"/>
    <xf numFmtId="9" fontId="0" fillId="0" borderId="0" xfId="0" applyNumberFormat="1"/>
    <xf numFmtId="164" fontId="3" fillId="0" borderId="0" xfId="1" applyNumberFormat="1"/>
    <xf numFmtId="165" fontId="3" fillId="0" borderId="0" xfId="1" applyNumberFormat="1" applyAlignment="1">
      <alignment horizontal="center"/>
    </xf>
    <xf numFmtId="165" fontId="3" fillId="0" borderId="0" xfId="1" quotePrefix="1" applyNumberFormat="1"/>
    <xf numFmtId="0" fontId="0" fillId="7" borderId="0" xfId="0" applyFill="1"/>
    <xf numFmtId="165" fontId="0" fillId="7" borderId="0" xfId="0" applyNumberFormat="1" applyFill="1"/>
    <xf numFmtId="43" fontId="3" fillId="0" borderId="0" xfId="1"/>
    <xf numFmtId="0" fontId="0" fillId="0" borderId="0" xfId="0" applyAlignment="1">
      <alignment horizontal="right"/>
    </xf>
    <xf numFmtId="165" fontId="3" fillId="7" borderId="0" xfId="1" applyNumberFormat="1" applyFill="1"/>
    <xf numFmtId="0" fontId="0" fillId="0" borderId="2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 textRotation="90" wrapText="1"/>
    </xf>
    <xf numFmtId="165" fontId="3" fillId="8" borderId="0" xfId="1" applyNumberFormat="1" applyFill="1"/>
    <xf numFmtId="0" fontId="0" fillId="2" borderId="2" xfId="0" applyFill="1" applyBorder="1" applyProtection="1">
      <protection locked="0"/>
    </xf>
    <xf numFmtId="165" fontId="3" fillId="2" borderId="2" xfId="1" applyNumberFormat="1" applyFill="1" applyBorder="1" applyProtection="1">
      <protection locked="0"/>
    </xf>
    <xf numFmtId="165" fontId="1" fillId="3" borderId="2" xfId="1" applyNumberFormat="1" applyFont="1" applyFill="1" applyBorder="1"/>
    <xf numFmtId="165" fontId="1" fillId="4" borderId="2" xfId="1" applyNumberFormat="1" applyFont="1" applyFill="1" applyBorder="1"/>
    <xf numFmtId="0" fontId="0" fillId="4" borderId="0" xfId="0" applyFill="1"/>
    <xf numFmtId="0" fontId="0" fillId="2" borderId="0" xfId="0" applyFill="1"/>
    <xf numFmtId="0" fontId="0" fillId="5" borderId="2" xfId="0" applyFill="1" applyBorder="1" applyProtection="1">
      <protection locked="0"/>
    </xf>
    <xf numFmtId="165" fontId="3" fillId="5" borderId="2" xfId="1" applyNumberFormat="1" applyFill="1" applyBorder="1" applyProtection="1">
      <protection locked="0"/>
    </xf>
    <xf numFmtId="0" fontId="0" fillId="9" borderId="2" xfId="0" applyFill="1" applyBorder="1" applyAlignment="1">
      <alignment horizontal="center"/>
    </xf>
    <xf numFmtId="165" fontId="3" fillId="9" borderId="2" xfId="1" applyNumberFormat="1" applyFill="1" applyBorder="1" applyAlignment="1">
      <alignment horizontal="center"/>
    </xf>
    <xf numFmtId="165" fontId="3" fillId="9" borderId="2" xfId="1" applyNumberFormat="1" applyFill="1" applyBorder="1"/>
    <xf numFmtId="165" fontId="3" fillId="4" borderId="0" xfId="1" applyNumberFormat="1" applyFill="1"/>
    <xf numFmtId="165" fontId="3" fillId="2" borderId="0" xfId="1" applyNumberFormat="1" applyFill="1"/>
    <xf numFmtId="165" fontId="3" fillId="7" borderId="2" xfId="1" applyNumberFormat="1" applyFill="1" applyBorder="1"/>
    <xf numFmtId="165" fontId="3" fillId="5" borderId="2" xfId="1" applyNumberFormat="1" applyFill="1" applyBorder="1" applyAlignment="1">
      <alignment horizontal="center"/>
    </xf>
    <xf numFmtId="165" fontId="3" fillId="5" borderId="1" xfId="1" applyNumberFormat="1" applyFill="1" applyBorder="1" applyAlignment="1">
      <alignment horizontal="left"/>
    </xf>
    <xf numFmtId="165" fontId="3" fillId="5" borderId="2" xfId="1" applyNumberFormat="1" applyFill="1" applyBorder="1"/>
    <xf numFmtId="165" fontId="3" fillId="5" borderId="1" xfId="1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43" fontId="3" fillId="5" borderId="2" xfId="1" applyFill="1" applyBorder="1"/>
    <xf numFmtId="43" fontId="3" fillId="5" borderId="2" xfId="1" applyFill="1" applyBorder="1" applyAlignment="1">
      <alignment horizontal="center"/>
    </xf>
    <xf numFmtId="165" fontId="2" fillId="0" borderId="0" xfId="0" applyNumberFormat="1" applyFont="1"/>
    <xf numFmtId="43" fontId="0" fillId="5" borderId="2" xfId="0" applyNumberFormat="1" applyFill="1" applyBorder="1"/>
    <xf numFmtId="0" fontId="0" fillId="7" borderId="2" xfId="0" applyFill="1" applyBorder="1" applyAlignment="1" applyProtection="1">
      <alignment horizontal="center"/>
      <protection locked="0"/>
    </xf>
    <xf numFmtId="1" fontId="3" fillId="7" borderId="2" xfId="1" applyNumberFormat="1" applyFill="1" applyBorder="1" applyAlignment="1" applyProtection="1">
      <alignment horizontal="center"/>
      <protection locked="0"/>
    </xf>
    <xf numFmtId="1" fontId="3" fillId="7" borderId="1" xfId="1" applyNumberFormat="1" applyFill="1" applyBorder="1" applyAlignment="1" applyProtection="1">
      <alignment horizontal="center"/>
      <protection locked="0"/>
    </xf>
    <xf numFmtId="1" fontId="0" fillId="7" borderId="2" xfId="0" applyNumberFormat="1" applyFill="1" applyBorder="1" applyAlignment="1" applyProtection="1">
      <alignment horizontal="center"/>
      <protection locked="0"/>
    </xf>
    <xf numFmtId="1" fontId="0" fillId="7" borderId="1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165" fontId="3" fillId="7" borderId="2" xfId="1" applyNumberFormat="1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1" fontId="0" fillId="5" borderId="0" xfId="0" applyNumberFormat="1" applyFill="1" applyAlignment="1" applyProtection="1">
      <alignment horizontal="center"/>
      <protection locked="0"/>
    </xf>
    <xf numFmtId="165" fontId="3" fillId="5" borderId="0" xfId="1" applyNumberFormat="1" applyFill="1" applyAlignment="1" applyProtection="1">
      <alignment horizontal="center"/>
      <protection locked="0"/>
    </xf>
    <xf numFmtId="165" fontId="3" fillId="5" borderId="0" xfId="1" applyNumberFormat="1" applyFill="1" applyAlignment="1">
      <alignment horizontal="center"/>
    </xf>
    <xf numFmtId="0" fontId="8" fillId="0" borderId="0" xfId="0" applyFont="1"/>
    <xf numFmtId="0" fontId="6" fillId="0" borderId="0" xfId="0" quotePrefix="1" applyFont="1"/>
    <xf numFmtId="0" fontId="8" fillId="7" borderId="0" xfId="0" applyFont="1" applyFill="1"/>
    <xf numFmtId="0" fontId="6" fillId="0" borderId="2" xfId="0" applyFont="1" applyBorder="1" applyAlignment="1">
      <alignment horizontal="center" vertical="center" textRotation="90" wrapText="1"/>
    </xf>
    <xf numFmtId="167" fontId="0" fillId="0" borderId="0" xfId="0" applyNumberFormat="1"/>
    <xf numFmtId="0" fontId="5" fillId="0" borderId="0" xfId="0" applyFont="1" applyAlignment="1">
      <alignment horizontal="center"/>
    </xf>
    <xf numFmtId="0" fontId="0" fillId="7" borderId="1" xfId="0" applyFill="1" applyBorder="1" applyAlignment="1" applyProtection="1">
      <alignment horizontal="center"/>
      <protection locked="0"/>
    </xf>
    <xf numFmtId="0" fontId="0" fillId="5" borderId="0" xfId="0" applyFill="1" applyAlignment="1">
      <alignment horizontal="center"/>
    </xf>
    <xf numFmtId="0" fontId="0" fillId="7" borderId="2" xfId="0" applyFill="1" applyBorder="1" applyProtection="1">
      <protection locked="0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center"/>
      <protection locked="0"/>
    </xf>
    <xf numFmtId="165" fontId="3" fillId="9" borderId="1" xfId="1" applyNumberFormat="1" applyFill="1" applyBorder="1" applyAlignment="1">
      <alignment horizontal="center"/>
    </xf>
    <xf numFmtId="0" fontId="0" fillId="0" borderId="0" xfId="0" applyFont="1"/>
    <xf numFmtId="0" fontId="0" fillId="7" borderId="0" xfId="0" applyFill="1" applyAlignment="1">
      <alignment horizontal="left"/>
    </xf>
    <xf numFmtId="0" fontId="0" fillId="5" borderId="2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Border="1"/>
    <xf numFmtId="1" fontId="0" fillId="0" borderId="0" xfId="0" applyNumberFormat="1"/>
    <xf numFmtId="0" fontId="0" fillId="7" borderId="2" xfId="0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165" fontId="3" fillId="0" borderId="1" xfId="1" applyNumberFormat="1" applyBorder="1"/>
    <xf numFmtId="0" fontId="0" fillId="13" borderId="0" xfId="0" applyFill="1"/>
    <xf numFmtId="0" fontId="0" fillId="14" borderId="0" xfId="0" applyFill="1"/>
    <xf numFmtId="165" fontId="3" fillId="10" borderId="0" xfId="1" applyNumberFormat="1" applyFill="1"/>
    <xf numFmtId="0" fontId="7" fillId="0" borderId="0" xfId="0" applyFont="1" applyAlignment="1">
      <alignment horizontal="center"/>
    </xf>
    <xf numFmtId="0" fontId="0" fillId="12" borderId="11" xfId="0" applyFill="1" applyBorder="1" applyAlignment="1" applyProtection="1">
      <protection locked="0"/>
    </xf>
    <xf numFmtId="0" fontId="0" fillId="12" borderId="12" xfId="0" applyFill="1" applyBorder="1" applyAlignment="1" applyProtection="1">
      <protection locked="0"/>
    </xf>
    <xf numFmtId="0" fontId="0" fillId="12" borderId="13" xfId="0" applyFill="1" applyBorder="1" applyAlignment="1" applyProtection="1">
      <protection locked="0"/>
    </xf>
    <xf numFmtId="0" fontId="0" fillId="12" borderId="12" xfId="0" applyFill="1" applyBorder="1"/>
    <xf numFmtId="0" fontId="0" fillId="0" borderId="7" xfId="0" applyBorder="1"/>
    <xf numFmtId="0" fontId="0" fillId="0" borderId="0" xfId="0" applyBorder="1"/>
    <xf numFmtId="0" fontId="0" fillId="9" borderId="2" xfId="0" applyFill="1" applyBorder="1" applyAlignment="1" applyProtection="1">
      <alignment horizontal="center"/>
      <protection locked="0"/>
    </xf>
    <xf numFmtId="1" fontId="3" fillId="9" borderId="2" xfId="1" applyNumberForma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  <protection locked="0"/>
    </xf>
    <xf numFmtId="165" fontId="3" fillId="7" borderId="2" xfId="1" applyNumberFormat="1" applyFill="1" applyBorder="1" applyAlignment="1" applyProtection="1">
      <alignment horizontal="center"/>
      <protection locked="0"/>
    </xf>
    <xf numFmtId="165" fontId="3" fillId="7" borderId="1" xfId="1" applyNumberFormat="1" applyFill="1" applyBorder="1" applyAlignment="1" applyProtection="1">
      <alignment horizontal="center"/>
      <protection locked="0"/>
    </xf>
    <xf numFmtId="165" fontId="3" fillId="7" borderId="6" xfId="1" applyNumberFormat="1" applyFill="1" applyBorder="1" applyAlignment="1" applyProtection="1">
      <alignment horizontal="center"/>
      <protection locked="0"/>
    </xf>
    <xf numFmtId="165" fontId="3" fillId="7" borderId="3" xfId="1" applyNumberForma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7" borderId="17" xfId="0" applyFill="1" applyBorder="1"/>
    <xf numFmtId="165" fontId="3" fillId="0" borderId="17" xfId="1" applyNumberFormat="1" applyBorder="1"/>
    <xf numFmtId="165" fontId="3" fillId="0" borderId="0" xfId="1" applyNumberFormat="1" applyBorder="1"/>
    <xf numFmtId="165" fontId="0" fillId="0" borderId="17" xfId="1" applyNumberFormat="1" applyFont="1" applyBorder="1"/>
    <xf numFmtId="165" fontId="0" fillId="0" borderId="0" xfId="1" applyNumberFormat="1" applyFont="1" applyBorder="1"/>
    <xf numFmtId="165" fontId="0" fillId="0" borderId="17" xfId="0" applyNumberFormat="1" applyBorder="1"/>
    <xf numFmtId="165" fontId="0" fillId="0" borderId="0" xfId="0" applyNumberFormat="1" applyBorder="1"/>
    <xf numFmtId="10" fontId="0" fillId="0" borderId="17" xfId="3" applyNumberFormat="1" applyFont="1" applyBorder="1"/>
    <xf numFmtId="10" fontId="0" fillId="0" borderId="0" xfId="3" applyNumberFormat="1" applyFont="1" applyBorder="1"/>
    <xf numFmtId="164" fontId="3" fillId="0" borderId="17" xfId="1" applyNumberFormat="1" applyBorder="1"/>
    <xf numFmtId="165" fontId="4" fillId="0" borderId="0" xfId="0" applyNumberFormat="1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4" fillId="0" borderId="0" xfId="0" applyFont="1" applyBorder="1"/>
    <xf numFmtId="0" fontId="0" fillId="0" borderId="0" xfId="0" applyAlignment="1">
      <alignment horizontal="center"/>
    </xf>
    <xf numFmtId="165" fontId="3" fillId="8" borderId="2" xfId="1" applyNumberFormat="1" applyFill="1" applyBorder="1" applyAlignment="1"/>
    <xf numFmtId="165" fontId="3" fillId="8" borderId="1" xfId="1" applyNumberFormat="1" applyFill="1" applyBorder="1" applyAlignment="1">
      <alignment wrapText="1"/>
    </xf>
    <xf numFmtId="165" fontId="3" fillId="8" borderId="3" xfId="1" applyNumberFormat="1" applyFill="1" applyBorder="1" applyAlignment="1">
      <alignment wrapText="1"/>
    </xf>
    <xf numFmtId="165" fontId="3" fillId="8" borderId="6" xfId="1" applyNumberFormat="1" applyFill="1" applyBorder="1" applyAlignment="1">
      <alignment wrapText="1"/>
    </xf>
    <xf numFmtId="165" fontId="3" fillId="7" borderId="2" xfId="1" applyNumberFormat="1" applyFill="1" applyBorder="1" applyAlignment="1" applyProtection="1">
      <protection locked="0"/>
    </xf>
    <xf numFmtId="0" fontId="0" fillId="0" borderId="0" xfId="0" applyFill="1" applyBorder="1"/>
    <xf numFmtId="165" fontId="13" fillId="9" borderId="2" xfId="1" applyNumberFormat="1" applyFont="1" applyFill="1" applyBorder="1"/>
    <xf numFmtId="0" fontId="13" fillId="9" borderId="2" xfId="0" applyFont="1" applyFill="1" applyBorder="1" applyAlignment="1" applyProtection="1">
      <alignment horizontal="center"/>
      <protection locked="0"/>
    </xf>
    <xf numFmtId="165" fontId="13" fillId="9" borderId="2" xfId="1" applyNumberFormat="1" applyFont="1" applyFill="1" applyBorder="1" applyAlignment="1">
      <alignment horizontal="center"/>
    </xf>
    <xf numFmtId="1" fontId="13" fillId="9" borderId="2" xfId="1" applyNumberFormat="1" applyFont="1" applyFill="1" applyBorder="1" applyAlignment="1" applyProtection="1">
      <alignment horizontal="center"/>
      <protection locked="0"/>
    </xf>
    <xf numFmtId="0" fontId="0" fillId="10" borderId="0" xfId="0" applyFill="1" applyAlignment="1">
      <alignment wrapText="1"/>
    </xf>
    <xf numFmtId="0" fontId="0" fillId="0" borderId="2" xfId="0" applyBorder="1" applyAlignment="1">
      <alignment horizontal="center"/>
    </xf>
    <xf numFmtId="16" fontId="0" fillId="0" borderId="0" xfId="0" quotePrefix="1" applyNumberFormat="1" applyAlignment="1">
      <alignment horizontal="left"/>
    </xf>
    <xf numFmtId="0" fontId="0" fillId="0" borderId="0" xfId="0" quotePrefix="1" applyAlignment="1">
      <alignment horizontal="left"/>
    </xf>
    <xf numFmtId="165" fontId="0" fillId="9" borderId="2" xfId="0" applyNumberFormat="1" applyFill="1" applyBorder="1" applyAlignment="1">
      <alignment horizontal="center"/>
    </xf>
    <xf numFmtId="165" fontId="0" fillId="11" borderId="2" xfId="0" applyNumberFormat="1" applyFill="1" applyBorder="1" applyAlignment="1">
      <alignment horizontal="center"/>
    </xf>
    <xf numFmtId="165" fontId="0" fillId="10" borderId="2" xfId="0" applyNumberFormat="1" applyFill="1" applyBorder="1" applyAlignment="1">
      <alignment horizont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165" fontId="3" fillId="8" borderId="2" xfId="1" applyNumberFormat="1" applyFill="1" applyBorder="1" applyAlignment="1">
      <alignment horizontal="center"/>
    </xf>
    <xf numFmtId="165" fontId="0" fillId="7" borderId="2" xfId="0" applyNumberFormat="1" applyFill="1" applyBorder="1" applyAlignment="1" applyProtection="1">
      <alignment horizontal="center"/>
      <protection locked="0"/>
    </xf>
    <xf numFmtId="165" fontId="3" fillId="7" borderId="1" xfId="1" applyNumberFormat="1" applyFill="1" applyBorder="1" applyAlignment="1" applyProtection="1">
      <alignment horizontal="center"/>
      <protection locked="0"/>
    </xf>
    <xf numFmtId="165" fontId="3" fillId="7" borderId="6" xfId="1" applyNumberFormat="1" applyFill="1" applyBorder="1" applyAlignment="1" applyProtection="1">
      <alignment horizontal="center"/>
      <protection locked="0"/>
    </xf>
    <xf numFmtId="165" fontId="3" fillId="7" borderId="2" xfId="1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 vertical="center" wrapText="1"/>
    </xf>
    <xf numFmtId="0" fontId="0" fillId="7" borderId="2" xfId="0" applyFill="1" applyBorder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165" fontId="3" fillId="8" borderId="1" xfId="1" applyNumberFormat="1" applyFill="1" applyBorder="1" applyAlignment="1">
      <alignment horizontal="center"/>
    </xf>
    <xf numFmtId="165" fontId="3" fillId="8" borderId="6" xfId="1" applyNumberFormat="1" applyFill="1" applyBorder="1" applyAlignment="1">
      <alignment horizontal="center"/>
    </xf>
    <xf numFmtId="165" fontId="3" fillId="7" borderId="3" xfId="1" applyNumberFormat="1" applyFill="1" applyBorder="1" applyAlignment="1" applyProtection="1">
      <alignment horizontal="center"/>
      <protection locked="0"/>
    </xf>
    <xf numFmtId="165" fontId="3" fillId="7" borderId="1" xfId="1" applyNumberFormat="1" applyFill="1" applyBorder="1" applyAlignment="1" applyProtection="1">
      <alignment horizontal="left"/>
      <protection locked="0"/>
    </xf>
    <xf numFmtId="165" fontId="3" fillId="7" borderId="6" xfId="1" applyNumberFormat="1" applyFill="1" applyBorder="1" applyAlignment="1" applyProtection="1">
      <alignment horizontal="left"/>
      <protection locked="0"/>
    </xf>
    <xf numFmtId="166" fontId="3" fillId="12" borderId="11" xfId="1" applyNumberFormat="1" applyFont="1" applyFill="1" applyBorder="1" applyAlignment="1">
      <alignment horizontal="center"/>
    </xf>
    <xf numFmtId="166" fontId="3" fillId="12" borderId="12" xfId="1" applyNumberFormat="1" applyFont="1" applyFill="1" applyBorder="1" applyAlignment="1">
      <alignment horizontal="center"/>
    </xf>
    <xf numFmtId="166" fontId="3" fillId="12" borderId="13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3" fillId="7" borderId="1" xfId="3" applyFill="1" applyBorder="1" applyAlignment="1" applyProtection="1">
      <alignment horizontal="center"/>
      <protection locked="0"/>
    </xf>
    <xf numFmtId="9" fontId="3" fillId="7" borderId="6" xfId="3" applyFill="1" applyBorder="1" applyAlignment="1" applyProtection="1">
      <alignment horizontal="center"/>
      <protection locked="0"/>
    </xf>
    <xf numFmtId="0" fontId="12" fillId="0" borderId="5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0" fillId="12" borderId="11" xfId="0" applyFont="1" applyFill="1" applyBorder="1" applyAlignment="1" applyProtection="1">
      <alignment horizontal="center"/>
      <protection locked="0"/>
    </xf>
    <xf numFmtId="0" fontId="0" fillId="12" borderId="12" xfId="0" applyFont="1" applyFill="1" applyBorder="1" applyAlignment="1" applyProtection="1">
      <alignment horizontal="center"/>
      <protection locked="0"/>
    </xf>
    <xf numFmtId="0" fontId="0" fillId="12" borderId="13" xfId="0" applyFont="1" applyFill="1" applyBorder="1" applyAlignment="1" applyProtection="1">
      <alignment horizontal="center"/>
      <protection locked="0"/>
    </xf>
    <xf numFmtId="165" fontId="0" fillId="7" borderId="1" xfId="1" applyNumberFormat="1" applyFont="1" applyFill="1" applyBorder="1" applyAlignment="1" applyProtection="1">
      <alignment horizontal="center"/>
      <protection locked="0"/>
    </xf>
    <xf numFmtId="49" fontId="0" fillId="7" borderId="3" xfId="0" applyNumberFormat="1" applyFill="1" applyBorder="1" applyAlignment="1" applyProtection="1">
      <alignment horizontal="left"/>
      <protection locked="0"/>
    </xf>
    <xf numFmtId="49" fontId="0" fillId="7" borderId="6" xfId="0" applyNumberFormat="1" applyFill="1" applyBorder="1" applyAlignment="1" applyProtection="1">
      <alignment horizontal="left"/>
      <protection locked="0"/>
    </xf>
    <xf numFmtId="0" fontId="0" fillId="0" borderId="2" xfId="0" applyBorder="1" applyAlignment="1">
      <alignment horizontal="center"/>
    </xf>
    <xf numFmtId="165" fontId="3" fillId="8" borderId="3" xfId="1" applyNumberFormat="1" applyFill="1" applyBorder="1" applyAlignment="1">
      <alignment horizontal="center"/>
    </xf>
    <xf numFmtId="0" fontId="0" fillId="5" borderId="2" xfId="0" applyFill="1" applyBorder="1" applyAlignment="1">
      <alignment horizontal="center" vertical="center" wrapText="1"/>
    </xf>
    <xf numFmtId="165" fontId="3" fillId="9" borderId="1" xfId="1" applyNumberFormat="1" applyFill="1" applyBorder="1" applyAlignment="1">
      <alignment horizontal="center"/>
    </xf>
    <xf numFmtId="165" fontId="3" fillId="9" borderId="6" xfId="1" applyNumberFormat="1" applyFill="1" applyBorder="1" applyAlignment="1">
      <alignment horizontal="center"/>
    </xf>
    <xf numFmtId="0" fontId="13" fillId="5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165" fontId="3" fillId="9" borderId="1" xfId="1" applyNumberFormat="1" applyFill="1" applyBorder="1" applyAlignment="1">
      <alignment horizontal="left"/>
    </xf>
    <xf numFmtId="165" fontId="3" fillId="9" borderId="3" xfId="1" applyNumberFormat="1" applyFill="1" applyBorder="1" applyAlignment="1">
      <alignment horizontal="left"/>
    </xf>
    <xf numFmtId="165" fontId="3" fillId="9" borderId="6" xfId="1" applyNumberFormat="1" applyFill="1" applyBorder="1" applyAlignment="1">
      <alignment horizontal="left"/>
    </xf>
    <xf numFmtId="43" fontId="3" fillId="9" borderId="1" xfId="1" applyFill="1" applyBorder="1" applyAlignment="1">
      <alignment horizontal="left"/>
    </xf>
    <xf numFmtId="43" fontId="3" fillId="9" borderId="3" xfId="1" applyFill="1" applyBorder="1" applyAlignment="1">
      <alignment horizontal="left"/>
    </xf>
    <xf numFmtId="43" fontId="3" fillId="9" borderId="6" xfId="1" applyFill="1" applyBorder="1" applyAlignment="1">
      <alignment horizontal="left"/>
    </xf>
    <xf numFmtId="165" fontId="3" fillId="10" borderId="2" xfId="1" applyNumberFormat="1" applyFill="1" applyBorder="1" applyAlignment="1">
      <alignment horizontal="center"/>
    </xf>
    <xf numFmtId="165" fontId="3" fillId="8" borderId="1" xfId="1" applyNumberFormat="1" applyFill="1" applyBorder="1" applyAlignment="1">
      <alignment horizontal="center" wrapText="1"/>
    </xf>
    <xf numFmtId="165" fontId="3" fillId="8" borderId="3" xfId="1" applyNumberFormat="1" applyFill="1" applyBorder="1" applyAlignment="1">
      <alignment horizontal="center" wrapText="1"/>
    </xf>
    <xf numFmtId="165" fontId="3" fillId="8" borderId="6" xfId="1" applyNumberFormat="1" applyFill="1" applyBorder="1" applyAlignment="1">
      <alignment horizontal="center" wrapText="1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165" fontId="10" fillId="8" borderId="2" xfId="1" applyNumberFormat="1" applyFont="1" applyFill="1" applyBorder="1" applyAlignment="1">
      <alignment horizontal="center"/>
    </xf>
    <xf numFmtId="165" fontId="13" fillId="8" borderId="1" xfId="1" applyNumberFormat="1" applyFont="1" applyFill="1" applyBorder="1" applyAlignment="1">
      <alignment horizontal="center"/>
    </xf>
    <xf numFmtId="165" fontId="13" fillId="8" borderId="6" xfId="1" applyNumberFormat="1" applyFont="1" applyFill="1" applyBorder="1" applyAlignment="1">
      <alignment horizontal="center"/>
    </xf>
    <xf numFmtId="165" fontId="11" fillId="11" borderId="2" xfId="1" applyNumberFormat="1" applyFont="1" applyFill="1" applyBorder="1" applyAlignment="1">
      <alignment horizontal="center"/>
    </xf>
    <xf numFmtId="49" fontId="0" fillId="7" borderId="1" xfId="0" applyNumberFormat="1" applyFill="1" applyBorder="1" applyAlignment="1" applyProtection="1">
      <alignment horizontal="left"/>
      <protection locked="0"/>
    </xf>
    <xf numFmtId="0" fontId="0" fillId="5" borderId="1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0" fillId="5" borderId="5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49" fontId="0" fillId="7" borderId="9" xfId="0" applyNumberFormat="1" applyFill="1" applyBorder="1" applyAlignment="1" applyProtection="1">
      <alignment horizontal="left"/>
      <protection locked="0"/>
    </xf>
    <xf numFmtId="0" fontId="7" fillId="0" borderId="0" xfId="0" applyFont="1" applyAlignment="1">
      <alignment horizontal="center"/>
    </xf>
    <xf numFmtId="166" fontId="4" fillId="12" borderId="11" xfId="2" applyNumberFormat="1" applyFont="1" applyFill="1" applyBorder="1" applyAlignment="1">
      <alignment horizontal="center"/>
    </xf>
    <xf numFmtId="166" fontId="4" fillId="12" borderId="12" xfId="2" applyNumberFormat="1" applyFont="1" applyFill="1" applyBorder="1" applyAlignment="1">
      <alignment horizontal="center"/>
    </xf>
    <xf numFmtId="166" fontId="4" fillId="12" borderId="13" xfId="2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2" xfId="0" applyFill="1" applyBorder="1" applyAlignment="1">
      <alignment horizontal="center"/>
    </xf>
    <xf numFmtId="166" fontId="3" fillId="12" borderId="11" xfId="2" applyNumberFormat="1" applyFill="1" applyBorder="1" applyAlignment="1">
      <alignment horizontal="center"/>
    </xf>
    <xf numFmtId="166" fontId="3" fillId="12" borderId="12" xfId="2" applyNumberFormat="1" applyFill="1" applyBorder="1" applyAlignment="1">
      <alignment horizontal="center"/>
    </xf>
    <xf numFmtId="166" fontId="3" fillId="12" borderId="13" xfId="2" applyNumberFormat="1" applyFill="1" applyBorder="1" applyAlignment="1">
      <alignment horizontal="center"/>
    </xf>
    <xf numFmtId="166" fontId="3" fillId="12" borderId="11" xfId="1" applyNumberFormat="1" applyFill="1" applyBorder="1" applyAlignment="1">
      <alignment horizontal="center"/>
    </xf>
    <xf numFmtId="166" fontId="3" fillId="12" borderId="12" xfId="1" applyNumberFormat="1" applyFill="1" applyBorder="1" applyAlignment="1">
      <alignment horizontal="center"/>
    </xf>
    <xf numFmtId="166" fontId="3" fillId="12" borderId="13" xfId="1" applyNumberFormat="1" applyFill="1" applyBorder="1" applyAlignment="1">
      <alignment horizontal="center"/>
    </xf>
    <xf numFmtId="49" fontId="0" fillId="0" borderId="2" xfId="0" applyNumberFormat="1" applyBorder="1" applyAlignment="1">
      <alignment horizontal="left"/>
    </xf>
    <xf numFmtId="0" fontId="0" fillId="9" borderId="1" xfId="0" quotePrefix="1" applyFill="1" applyBorder="1" applyAlignment="1" applyProtection="1">
      <alignment horizontal="left"/>
      <protection locked="0"/>
    </xf>
    <xf numFmtId="0" fontId="0" fillId="9" borderId="3" xfId="0" applyFill="1" applyBorder="1" applyAlignment="1" applyProtection="1">
      <alignment horizontal="left"/>
      <protection locked="0"/>
    </xf>
    <xf numFmtId="0" fontId="0" fillId="9" borderId="6" xfId="0" applyFill="1" applyBorder="1" applyAlignment="1" applyProtection="1">
      <alignment horizontal="left"/>
      <protection locked="0"/>
    </xf>
    <xf numFmtId="165" fontId="3" fillId="9" borderId="1" xfId="1" applyNumberFormat="1" applyFill="1" applyBorder="1" applyAlignment="1" applyProtection="1">
      <alignment horizontal="left"/>
      <protection locked="0"/>
    </xf>
    <xf numFmtId="165" fontId="3" fillId="9" borderId="6" xfId="1" applyNumberFormat="1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left"/>
      <protection locked="0"/>
    </xf>
    <xf numFmtId="165" fontId="3" fillId="9" borderId="2" xfId="1" applyNumberFormat="1" applyFill="1" applyBorder="1" applyAlignment="1" applyProtection="1">
      <alignment horizontal="center"/>
      <protection locked="0"/>
    </xf>
    <xf numFmtId="0" fontId="0" fillId="0" borderId="2" xfId="0" quotePrefix="1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/>
    </xf>
    <xf numFmtId="14" fontId="5" fillId="0" borderId="0" xfId="0" applyNumberFormat="1" applyFont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8" fillId="0" borderId="0" xfId="0" applyFont="1" applyAlignment="1"/>
    <xf numFmtId="165" fontId="0" fillId="7" borderId="2" xfId="1" applyNumberFormat="1" applyFont="1" applyFill="1" applyBorder="1" applyAlignment="1" applyProtection="1">
      <alignment horizontal="center"/>
      <protection locked="0"/>
    </xf>
    <xf numFmtId="165" fontId="3" fillId="8" borderId="1" xfId="1" applyNumberFormat="1" applyFill="1" applyBorder="1" applyAlignment="1" applyProtection="1">
      <alignment horizontal="center"/>
      <protection hidden="1"/>
    </xf>
    <xf numFmtId="165" fontId="3" fillId="8" borderId="6" xfId="1" applyNumberFormat="1" applyFill="1" applyBorder="1" applyAlignment="1" applyProtection="1">
      <alignment horizontal="center"/>
      <protection hidden="1"/>
    </xf>
    <xf numFmtId="165" fontId="3" fillId="8" borderId="3" xfId="1" applyNumberFormat="1" applyFill="1" applyBorder="1" applyAlignment="1" applyProtection="1">
      <alignment horizontal="center"/>
      <protection hidden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4">
    <dxf>
      <fill>
        <patternFill>
          <bgColor rgb="FFFF6969"/>
        </patternFill>
      </fill>
    </dxf>
    <dxf>
      <fill>
        <patternFill>
          <bgColor rgb="FF00F60B"/>
        </patternFill>
      </fill>
    </dxf>
    <dxf>
      <font>
        <color rgb="FF006100"/>
      </font>
      <fill>
        <patternFill>
          <bgColor rgb="FF00F66F"/>
        </patternFill>
      </fill>
    </dxf>
    <dxf>
      <fill>
        <patternFill>
          <bgColor rgb="FFFF5757"/>
        </patternFill>
      </fill>
    </dxf>
  </dxfs>
  <tableStyles count="0" defaultTableStyle="TableStyleMedium2" defaultPivotStyle="PivotStyleLight16"/>
  <colors>
    <mruColors>
      <color rgb="FFFF6969"/>
      <color rgb="FFFF5757"/>
      <color rgb="FF00F60B"/>
      <color rgb="FFFF1919"/>
      <color rgb="FFFF3300"/>
      <color rgb="FF00F66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155"/>
  <sheetViews>
    <sheetView tabSelected="1" workbookViewId="0">
      <pane ySplit="10" topLeftCell="A11" activePane="bottomLeft" state="frozen"/>
      <selection activeCell="AA19" sqref="AA19"/>
      <selection pane="bottomLeft" activeCell="O17" sqref="O17:P17"/>
    </sheetView>
  </sheetViews>
  <sheetFormatPr defaultRowHeight="15" x14ac:dyDescent="0.25"/>
  <cols>
    <col min="1" max="1" width="4.85546875" customWidth="1"/>
    <col min="2" max="2" width="4.28515625" customWidth="1"/>
    <col min="3" max="5" width="4.5703125" customWidth="1"/>
    <col min="6" max="7" width="4.85546875" customWidth="1"/>
    <col min="8" max="8" width="6.140625" customWidth="1"/>
    <col min="9" max="9" width="4" customWidth="1"/>
    <col min="10" max="10" width="4.28515625" customWidth="1"/>
    <col min="11" max="11" width="6.28515625" customWidth="1"/>
    <col min="12" max="12" width="7.42578125" customWidth="1"/>
    <col min="13" max="13" width="5.85546875" customWidth="1"/>
    <col min="14" max="14" width="5.28515625" customWidth="1"/>
    <col min="15" max="15" width="4.85546875" customWidth="1"/>
    <col min="16" max="16" width="4.42578125" customWidth="1"/>
    <col min="17" max="17" width="5" customWidth="1"/>
    <col min="18" max="18" width="4.5703125" customWidth="1"/>
    <col min="19" max="19" width="4" customWidth="1"/>
    <col min="20" max="20" width="3.140625" customWidth="1"/>
    <col min="21" max="21" width="4" customWidth="1"/>
    <col min="22" max="22" width="2.85546875" customWidth="1"/>
  </cols>
  <sheetData>
    <row r="1" spans="1:24" ht="27.75" customHeight="1" thickBot="1" x14ac:dyDescent="0.5">
      <c r="A1" s="225" t="s">
        <v>288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4" ht="18.75" customHeight="1" thickBot="1" x14ac:dyDescent="0.5">
      <c r="A2" s="250">
        <v>44205</v>
      </c>
      <c r="B2" s="251"/>
      <c r="C2" s="182" t="s">
        <v>237</v>
      </c>
      <c r="D2" s="183"/>
      <c r="E2" s="183"/>
      <c r="F2" s="183"/>
      <c r="G2" s="183"/>
      <c r="H2" s="184"/>
      <c r="I2" s="226">
        <f>IF(S123&gt;0,S123,-S124)</f>
        <v>0</v>
      </c>
      <c r="J2" s="227"/>
      <c r="K2" s="228"/>
      <c r="L2" s="100"/>
      <c r="M2" s="106" t="s">
        <v>238</v>
      </c>
      <c r="N2" s="109"/>
      <c r="O2" s="107"/>
      <c r="P2" s="107"/>
      <c r="Q2" s="107"/>
      <c r="R2" s="108"/>
      <c r="S2" s="173">
        <f>IF(S154&gt;0,-S154,S155)</f>
        <v>0</v>
      </c>
      <c r="T2" s="174"/>
      <c r="U2" s="175"/>
    </row>
    <row r="3" spans="1:24" x14ac:dyDescent="0.25">
      <c r="A3" s="229" t="s">
        <v>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110" t="s">
        <v>211</v>
      </c>
      <c r="Q3" s="111"/>
      <c r="R3" s="111"/>
      <c r="S3" s="176"/>
      <c r="T3" s="176"/>
      <c r="U3" s="176"/>
    </row>
    <row r="4" spans="1:24" x14ac:dyDescent="0.25">
      <c r="A4" s="1" t="s">
        <v>0</v>
      </c>
      <c r="B4" s="3"/>
      <c r="C4" s="3"/>
      <c r="D4" s="3"/>
      <c r="E4" s="214"/>
      <c r="F4" s="186"/>
      <c r="G4" s="186"/>
      <c r="H4" s="187"/>
      <c r="I4" s="188" t="s">
        <v>2</v>
      </c>
      <c r="J4" s="188"/>
      <c r="K4" s="188"/>
      <c r="L4" s="186"/>
      <c r="M4" s="186"/>
      <c r="N4" s="186"/>
      <c r="O4" s="187"/>
      <c r="P4" s="84"/>
      <c r="Q4" s="231" t="s">
        <v>266</v>
      </c>
      <c r="R4" s="231"/>
      <c r="S4" s="231"/>
      <c r="T4" s="231"/>
      <c r="U4" s="99">
        <v>0</v>
      </c>
    </row>
    <row r="5" spans="1:24" x14ac:dyDescent="0.25">
      <c r="A5" s="1" t="s">
        <v>1</v>
      </c>
      <c r="B5" s="3"/>
      <c r="C5" s="3"/>
      <c r="D5" s="3"/>
      <c r="E5" s="214"/>
      <c r="F5" s="186"/>
      <c r="G5" s="186"/>
      <c r="H5" s="187"/>
      <c r="I5" s="188" t="s">
        <v>2</v>
      </c>
      <c r="J5" s="188"/>
      <c r="K5" s="188"/>
      <c r="L5" s="214"/>
      <c r="M5" s="186"/>
      <c r="N5" s="186"/>
      <c r="O5" s="187"/>
      <c r="P5" s="84"/>
      <c r="Q5" s="231" t="s">
        <v>267</v>
      </c>
      <c r="R5" s="231"/>
      <c r="S5" s="231"/>
      <c r="T5" s="231"/>
      <c r="U5" s="99">
        <v>0</v>
      </c>
    </row>
    <row r="6" spans="1:24" x14ac:dyDescent="0.25">
      <c r="A6" s="1" t="s">
        <v>4</v>
      </c>
      <c r="B6" s="3"/>
      <c r="C6" s="3"/>
      <c r="D6" s="3"/>
      <c r="E6" s="214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224"/>
      <c r="R6" s="218"/>
      <c r="S6" s="219"/>
      <c r="T6" s="219"/>
      <c r="U6" s="220"/>
    </row>
    <row r="7" spans="1:24" x14ac:dyDescent="0.25">
      <c r="A7" s="1" t="s">
        <v>5</v>
      </c>
      <c r="B7" s="3"/>
      <c r="C7" s="3"/>
      <c r="D7" s="3"/>
      <c r="E7" s="214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218"/>
      <c r="S7" s="219"/>
      <c r="T7" s="219"/>
      <c r="U7" s="220"/>
    </row>
    <row r="8" spans="1:24" x14ac:dyDescent="0.25">
      <c r="A8" s="1" t="s">
        <v>6</v>
      </c>
      <c r="B8" s="3"/>
      <c r="C8" s="3"/>
      <c r="D8" s="3"/>
      <c r="E8" s="3"/>
      <c r="F8" s="3"/>
      <c r="G8" s="3"/>
      <c r="H8" s="3"/>
      <c r="I8" s="3"/>
      <c r="J8" s="4"/>
      <c r="K8" s="4"/>
      <c r="L8" s="4"/>
      <c r="M8" s="4"/>
      <c r="N8" s="4"/>
      <c r="O8" s="4"/>
      <c r="P8" s="4"/>
      <c r="Q8" s="67">
        <v>2</v>
      </c>
      <c r="R8" s="218"/>
      <c r="S8" s="219"/>
      <c r="T8" s="219"/>
      <c r="U8" s="220"/>
    </row>
    <row r="9" spans="1:24" x14ac:dyDescent="0.25">
      <c r="A9" s="215" t="s">
        <v>21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  <c r="Q9" s="67">
        <v>0</v>
      </c>
      <c r="R9" s="221"/>
      <c r="S9" s="222"/>
      <c r="T9" s="222"/>
      <c r="U9" s="223"/>
    </row>
    <row r="10" spans="1:24" ht="5.25" customHeight="1" x14ac:dyDescent="0.25">
      <c r="J10" s="5"/>
      <c r="K10" s="5"/>
      <c r="L10" s="5"/>
      <c r="M10" s="5"/>
      <c r="N10" s="5"/>
      <c r="O10" s="5"/>
      <c r="P10" s="5"/>
      <c r="Q10" s="5">
        <v>2</v>
      </c>
      <c r="R10" s="5"/>
      <c r="S10" s="5"/>
      <c r="T10" s="5"/>
      <c r="U10" s="5"/>
    </row>
    <row r="11" spans="1:24" ht="51" customHeight="1" x14ac:dyDescent="0.25">
      <c r="A11" s="81" t="s">
        <v>249</v>
      </c>
      <c r="B11" s="81" t="s">
        <v>296</v>
      </c>
      <c r="C11" s="165" t="s">
        <v>8</v>
      </c>
      <c r="D11" s="165"/>
      <c r="E11" s="165"/>
      <c r="F11" s="165"/>
      <c r="G11" s="165"/>
      <c r="H11" s="40" t="s">
        <v>145</v>
      </c>
      <c r="I11" s="41" t="s">
        <v>146</v>
      </c>
      <c r="J11" s="41" t="s">
        <v>290</v>
      </c>
      <c r="K11" s="41" t="s">
        <v>293</v>
      </c>
      <c r="L11" s="41" t="s">
        <v>294</v>
      </c>
      <c r="M11" s="41" t="s">
        <v>295</v>
      </c>
      <c r="N11" s="42" t="s">
        <v>148</v>
      </c>
      <c r="O11" s="190" t="s">
        <v>11</v>
      </c>
      <c r="P11" s="190"/>
      <c r="Q11" s="193" t="s">
        <v>14</v>
      </c>
      <c r="R11" s="193"/>
      <c r="S11" s="194" t="s">
        <v>15</v>
      </c>
      <c r="T11" s="195"/>
      <c r="U11" s="196"/>
    </row>
    <row r="12" spans="1:24" x14ac:dyDescent="0.25">
      <c r="A12" s="67" t="s">
        <v>36</v>
      </c>
      <c r="B12" s="89" t="s">
        <v>298</v>
      </c>
      <c r="C12" s="166"/>
      <c r="D12" s="166"/>
      <c r="E12" s="166"/>
      <c r="F12" s="166"/>
      <c r="G12" s="166"/>
      <c r="H12" s="67"/>
      <c r="I12" s="67"/>
      <c r="J12" s="67"/>
      <c r="K12" s="68"/>
      <c r="L12" s="69"/>
      <c r="M12" s="69"/>
      <c r="N12" s="69"/>
      <c r="O12" s="171">
        <v>0</v>
      </c>
      <c r="P12" s="172"/>
      <c r="Q12" s="254">
        <f>IF(withholding!Q4&gt;0,withholding!Q4,0)</f>
        <v>0</v>
      </c>
      <c r="R12" s="255"/>
      <c r="S12" s="254">
        <f>withholding!R4</f>
        <v>0</v>
      </c>
      <c r="T12" s="256"/>
      <c r="U12" s="255"/>
      <c r="X12" t="s">
        <v>24</v>
      </c>
    </row>
    <row r="13" spans="1:24" x14ac:dyDescent="0.25">
      <c r="A13" s="67" t="s">
        <v>440</v>
      </c>
      <c r="B13" s="89" t="s">
        <v>298</v>
      </c>
      <c r="C13" s="166"/>
      <c r="D13" s="166"/>
      <c r="E13" s="166"/>
      <c r="F13" s="166"/>
      <c r="G13" s="166"/>
      <c r="H13" s="67"/>
      <c r="I13" s="67"/>
      <c r="J13" s="67"/>
      <c r="K13" s="68"/>
      <c r="L13" s="69"/>
      <c r="M13" s="69"/>
      <c r="N13" s="69"/>
      <c r="O13" s="171">
        <v>0</v>
      </c>
      <c r="P13" s="172"/>
      <c r="Q13" s="254">
        <f>IF(withholding!Q5&gt;0,withholding!Q5,0)</f>
        <v>0</v>
      </c>
      <c r="R13" s="255"/>
      <c r="S13" s="254">
        <f>withholding!R5</f>
        <v>0</v>
      </c>
      <c r="T13" s="256"/>
      <c r="U13" s="255"/>
    </row>
    <row r="14" spans="1:24" x14ac:dyDescent="0.25">
      <c r="A14" s="67" t="s">
        <v>432</v>
      </c>
      <c r="B14" s="89" t="s">
        <v>298</v>
      </c>
      <c r="C14" s="166"/>
      <c r="D14" s="166"/>
      <c r="E14" s="166"/>
      <c r="F14" s="166"/>
      <c r="G14" s="166"/>
      <c r="H14" s="67"/>
      <c r="I14" s="67"/>
      <c r="J14" s="67"/>
      <c r="K14" s="70"/>
      <c r="L14" s="71"/>
      <c r="M14" s="71"/>
      <c r="N14" s="71"/>
      <c r="O14" s="171">
        <v>0</v>
      </c>
      <c r="P14" s="172"/>
      <c r="Q14" s="254">
        <f>IF(withholding!Q6&gt;0,withholding!Q6,0)</f>
        <v>0</v>
      </c>
      <c r="R14" s="255"/>
      <c r="S14" s="254">
        <f>withholding!R6</f>
        <v>0</v>
      </c>
      <c r="T14" s="256"/>
      <c r="U14" s="255"/>
    </row>
    <row r="15" spans="1:24" x14ac:dyDescent="0.25">
      <c r="A15" s="67"/>
      <c r="B15" s="89" t="s">
        <v>298</v>
      </c>
      <c r="C15" s="166"/>
      <c r="D15" s="166"/>
      <c r="E15" s="166"/>
      <c r="F15" s="166"/>
      <c r="G15" s="166"/>
      <c r="H15" s="67"/>
      <c r="I15" s="67"/>
      <c r="J15" s="67"/>
      <c r="K15" s="70"/>
      <c r="L15" s="71"/>
      <c r="M15" s="71"/>
      <c r="N15" s="71"/>
      <c r="O15" s="171">
        <v>0</v>
      </c>
      <c r="P15" s="172"/>
      <c r="Q15" s="254">
        <f>IF(withholding!Q7&gt;0,withholding!Q7,0)</f>
        <v>0</v>
      </c>
      <c r="R15" s="255"/>
      <c r="S15" s="254">
        <f>withholding!R7</f>
        <v>0</v>
      </c>
      <c r="T15" s="256"/>
      <c r="U15" s="255"/>
    </row>
    <row r="16" spans="1:24" x14ac:dyDescent="0.25">
      <c r="A16" s="67"/>
      <c r="B16" s="89" t="s">
        <v>298</v>
      </c>
      <c r="C16" s="166"/>
      <c r="D16" s="166"/>
      <c r="E16" s="166"/>
      <c r="F16" s="166"/>
      <c r="G16" s="166"/>
      <c r="H16" s="67"/>
      <c r="I16" s="67"/>
      <c r="J16" s="67"/>
      <c r="K16" s="70"/>
      <c r="L16" s="71"/>
      <c r="M16" s="71"/>
      <c r="N16" s="71"/>
      <c r="O16" s="171">
        <v>0</v>
      </c>
      <c r="P16" s="172"/>
      <c r="Q16" s="254">
        <f>IF(withholding!Q8&gt;0,withholding!Q8,0)</f>
        <v>0</v>
      </c>
      <c r="R16" s="255"/>
      <c r="S16" s="254">
        <f>withholding!R8</f>
        <v>0</v>
      </c>
      <c r="T16" s="256"/>
      <c r="U16" s="255"/>
    </row>
    <row r="17" spans="1:21" x14ac:dyDescent="0.25">
      <c r="A17" s="67"/>
      <c r="B17" s="89" t="s">
        <v>298</v>
      </c>
      <c r="C17" s="166"/>
      <c r="D17" s="166"/>
      <c r="E17" s="166"/>
      <c r="F17" s="166"/>
      <c r="G17" s="166"/>
      <c r="H17" s="67"/>
      <c r="I17" s="67"/>
      <c r="J17" s="67"/>
      <c r="K17" s="70"/>
      <c r="L17" s="71"/>
      <c r="M17" s="71"/>
      <c r="N17" s="71"/>
      <c r="O17" s="171">
        <v>0</v>
      </c>
      <c r="P17" s="172"/>
      <c r="Q17" s="254">
        <f>IF(withholding!Q9&gt;0,withholding!Q9,0)</f>
        <v>0</v>
      </c>
      <c r="R17" s="255"/>
      <c r="S17" s="254">
        <f>withholding!R9</f>
        <v>0</v>
      </c>
      <c r="T17" s="256"/>
      <c r="U17" s="255"/>
    </row>
    <row r="18" spans="1:21" x14ac:dyDescent="0.25">
      <c r="A18" s="67"/>
      <c r="B18" s="89" t="s">
        <v>298</v>
      </c>
      <c r="C18" s="166"/>
      <c r="D18" s="166"/>
      <c r="E18" s="166"/>
      <c r="F18" s="166"/>
      <c r="G18" s="166"/>
      <c r="H18" s="67"/>
      <c r="I18" s="67"/>
      <c r="J18" s="67"/>
      <c r="K18" s="70"/>
      <c r="L18" s="71"/>
      <c r="M18" s="71"/>
      <c r="N18" s="71"/>
      <c r="O18" s="171">
        <v>0</v>
      </c>
      <c r="P18" s="172"/>
      <c r="Q18" s="254">
        <f>IF(withholding!Q10&gt;0,withholding!Q10,0)</f>
        <v>0</v>
      </c>
      <c r="R18" s="255"/>
      <c r="S18" s="254">
        <f>withholding!R10</f>
        <v>0</v>
      </c>
      <c r="T18" s="256"/>
      <c r="U18" s="255"/>
    </row>
    <row r="19" spans="1:21" x14ac:dyDescent="0.25">
      <c r="A19" s="67"/>
      <c r="B19" s="89" t="s">
        <v>298</v>
      </c>
      <c r="C19" s="166"/>
      <c r="D19" s="166"/>
      <c r="E19" s="166"/>
      <c r="F19" s="166"/>
      <c r="G19" s="166"/>
      <c r="H19" s="67"/>
      <c r="I19" s="67"/>
      <c r="J19" s="67"/>
      <c r="K19" s="70"/>
      <c r="L19" s="71"/>
      <c r="M19" s="71"/>
      <c r="N19" s="71"/>
      <c r="O19" s="171">
        <v>0</v>
      </c>
      <c r="P19" s="172"/>
      <c r="Q19" s="254">
        <f>IF(withholding!Q11&gt;0,withholding!Q11,0)</f>
        <v>0</v>
      </c>
      <c r="R19" s="255"/>
      <c r="S19" s="254">
        <f>withholding!R11</f>
        <v>0</v>
      </c>
      <c r="T19" s="256"/>
      <c r="U19" s="255"/>
    </row>
    <row r="20" spans="1:21" ht="9.75" customHeight="1" x14ac:dyDescent="0.25">
      <c r="C20" s="6"/>
      <c r="D20" s="6"/>
      <c r="E20" s="91"/>
      <c r="F20" s="92" t="s">
        <v>286</v>
      </c>
      <c r="G20" s="34"/>
      <c r="H20" s="34"/>
    </row>
    <row r="21" spans="1:21" x14ac:dyDescent="0.25">
      <c r="A21" s="8">
        <v>7</v>
      </c>
      <c r="B21" s="8"/>
      <c r="C21" t="s">
        <v>336</v>
      </c>
      <c r="R21" s="8">
        <v>1</v>
      </c>
      <c r="S21" s="160">
        <f>withholding!T12</f>
        <v>0</v>
      </c>
      <c r="T21" s="160"/>
      <c r="U21" s="160"/>
    </row>
    <row r="22" spans="1:21" x14ac:dyDescent="0.25">
      <c r="A22" s="8">
        <v>7</v>
      </c>
      <c r="B22" s="8"/>
      <c r="C22" t="s">
        <v>337</v>
      </c>
      <c r="R22" s="8">
        <v>1</v>
      </c>
      <c r="S22" s="160">
        <f>withholding!U12</f>
        <v>0</v>
      </c>
      <c r="T22" s="160"/>
      <c r="U22" s="160"/>
    </row>
    <row r="23" spans="1:21" x14ac:dyDescent="0.25">
      <c r="A23" s="8">
        <v>8</v>
      </c>
      <c r="B23" s="8"/>
      <c r="C23" t="s">
        <v>216</v>
      </c>
      <c r="H23" t="s">
        <v>51</v>
      </c>
      <c r="K23" s="164"/>
      <c r="L23" s="164"/>
      <c r="M23" s="8" t="s">
        <v>377</v>
      </c>
      <c r="R23" s="8">
        <v>2</v>
      </c>
      <c r="S23" s="164"/>
      <c r="T23" s="164"/>
      <c r="U23" s="164"/>
    </row>
    <row r="24" spans="1:21" x14ac:dyDescent="0.25">
      <c r="A24" s="8">
        <v>9</v>
      </c>
      <c r="B24" s="8"/>
      <c r="C24" t="s">
        <v>18</v>
      </c>
      <c r="F24" s="164">
        <v>0</v>
      </c>
      <c r="G24" s="164"/>
      <c r="H24" t="s">
        <v>103</v>
      </c>
      <c r="K24" s="164">
        <v>0</v>
      </c>
      <c r="L24" s="164"/>
      <c r="M24" t="s">
        <v>376</v>
      </c>
      <c r="R24" s="8">
        <v>3</v>
      </c>
      <c r="S24" s="160">
        <f>F24</f>
        <v>0</v>
      </c>
      <c r="T24" s="160"/>
      <c r="U24" s="160"/>
    </row>
    <row r="25" spans="1:21" x14ac:dyDescent="0.25">
      <c r="A25" s="8">
        <v>10</v>
      </c>
      <c r="B25" s="8"/>
      <c r="C25" t="s">
        <v>338</v>
      </c>
      <c r="R25" s="152" t="s">
        <v>405</v>
      </c>
      <c r="S25" s="164">
        <v>0</v>
      </c>
      <c r="T25" s="164"/>
      <c r="U25" s="164"/>
    </row>
    <row r="26" spans="1:21" x14ac:dyDescent="0.25">
      <c r="A26" s="8">
        <v>11</v>
      </c>
      <c r="B26" s="8"/>
      <c r="C26" t="s">
        <v>339</v>
      </c>
      <c r="R26" s="153" t="s">
        <v>407</v>
      </c>
      <c r="S26" s="164">
        <v>0</v>
      </c>
      <c r="T26" s="164"/>
      <c r="U26" s="164"/>
    </row>
    <row r="27" spans="1:21" ht="15" customHeight="1" x14ac:dyDescent="0.25">
      <c r="A27" s="8">
        <v>12</v>
      </c>
      <c r="B27" s="8"/>
      <c r="C27" t="s">
        <v>217</v>
      </c>
      <c r="I27" t="s">
        <v>72</v>
      </c>
      <c r="L27" s="185">
        <v>0</v>
      </c>
      <c r="M27" s="163"/>
      <c r="N27" s="179" t="s">
        <v>255</v>
      </c>
      <c r="O27" s="180"/>
      <c r="P27" s="181"/>
      <c r="Q27" s="86"/>
      <c r="R27" s="153" t="s">
        <v>408</v>
      </c>
      <c r="S27" s="164">
        <v>0</v>
      </c>
      <c r="T27" s="164"/>
      <c r="U27" s="164"/>
    </row>
    <row r="28" spans="1:21" x14ac:dyDescent="0.25">
      <c r="A28" s="8">
        <v>12</v>
      </c>
      <c r="B28" s="8"/>
      <c r="C28" t="s">
        <v>49</v>
      </c>
      <c r="I28" t="s">
        <v>72</v>
      </c>
      <c r="L28" s="162">
        <v>0</v>
      </c>
      <c r="M28" s="163"/>
      <c r="N28" s="179"/>
      <c r="O28" s="180"/>
      <c r="P28" s="181"/>
      <c r="Q28" s="86"/>
      <c r="R28" s="153" t="s">
        <v>408</v>
      </c>
      <c r="S28" s="164">
        <v>0</v>
      </c>
      <c r="T28" s="164"/>
      <c r="U28" s="164"/>
    </row>
    <row r="29" spans="1:21" x14ac:dyDescent="0.25">
      <c r="A29" s="8">
        <v>13</v>
      </c>
      <c r="B29" s="8"/>
      <c r="C29" t="s">
        <v>254</v>
      </c>
      <c r="G29" s="164"/>
      <c r="H29" s="164"/>
      <c r="I29" t="s">
        <v>19</v>
      </c>
      <c r="L29" s="177">
        <v>0.15</v>
      </c>
      <c r="M29" s="178"/>
      <c r="N29" s="21"/>
      <c r="R29" s="8">
        <v>7</v>
      </c>
      <c r="S29" s="160">
        <f>G29</f>
        <v>0</v>
      </c>
      <c r="T29" s="160"/>
      <c r="U29" s="160"/>
    </row>
    <row r="30" spans="1:21" x14ac:dyDescent="0.25">
      <c r="A30" s="8">
        <v>14</v>
      </c>
      <c r="B30" s="8"/>
      <c r="C30" t="s">
        <v>335</v>
      </c>
      <c r="R30" s="153" t="s">
        <v>409</v>
      </c>
      <c r="S30" s="164">
        <v>0</v>
      </c>
      <c r="T30" s="164"/>
      <c r="U30" s="164"/>
    </row>
    <row r="31" spans="1:21" ht="9" customHeight="1" x14ac:dyDescent="0.25">
      <c r="R31" s="8"/>
      <c r="S31" s="6"/>
      <c r="T31" s="6"/>
      <c r="U31" s="6"/>
    </row>
    <row r="32" spans="1:21" ht="60" customHeight="1" x14ac:dyDescent="0.25">
      <c r="A32" s="81" t="s">
        <v>245</v>
      </c>
      <c r="B32" s="81" t="s">
        <v>296</v>
      </c>
      <c r="C32" s="165" t="s">
        <v>8</v>
      </c>
      <c r="D32" s="165"/>
      <c r="E32" s="165"/>
      <c r="F32" s="165"/>
      <c r="G32" s="165"/>
      <c r="H32" s="40" t="s">
        <v>145</v>
      </c>
      <c r="I32" s="40" t="s">
        <v>146</v>
      </c>
      <c r="J32" s="41" t="s">
        <v>290</v>
      </c>
      <c r="K32" s="41" t="s">
        <v>293</v>
      </c>
      <c r="L32" s="41" t="s">
        <v>294</v>
      </c>
      <c r="M32" s="41" t="s">
        <v>295</v>
      </c>
      <c r="N32" s="42" t="s">
        <v>148</v>
      </c>
      <c r="O32" s="190" t="s">
        <v>11</v>
      </c>
      <c r="P32" s="190"/>
      <c r="Q32" s="190" t="s">
        <v>14</v>
      </c>
      <c r="R32" s="190"/>
      <c r="S32" s="194" t="s">
        <v>15</v>
      </c>
      <c r="T32" s="195"/>
      <c r="U32" s="196"/>
    </row>
    <row r="33" spans="1:21" x14ac:dyDescent="0.25">
      <c r="A33" s="67" t="s">
        <v>36</v>
      </c>
      <c r="B33" s="89" t="s">
        <v>298</v>
      </c>
      <c r="C33" s="166"/>
      <c r="D33" s="166"/>
      <c r="E33" s="166"/>
      <c r="F33" s="166"/>
      <c r="G33" s="166"/>
      <c r="H33" s="67"/>
      <c r="I33" s="67"/>
      <c r="J33" s="67"/>
      <c r="K33" s="70"/>
      <c r="L33" s="71"/>
      <c r="M33" s="71"/>
      <c r="N33" s="71"/>
      <c r="O33" s="162"/>
      <c r="P33" s="163"/>
      <c r="Q33" s="168">
        <f>withholding!Q44</f>
        <v>0</v>
      </c>
      <c r="R33" s="169"/>
      <c r="S33" s="168">
        <f>withholding!R44</f>
        <v>0</v>
      </c>
      <c r="T33" s="189"/>
      <c r="U33" s="169"/>
    </row>
    <row r="34" spans="1:21" x14ac:dyDescent="0.25">
      <c r="A34" s="67"/>
      <c r="B34" s="89" t="s">
        <v>298</v>
      </c>
      <c r="C34" s="166"/>
      <c r="D34" s="166"/>
      <c r="E34" s="166"/>
      <c r="F34" s="166"/>
      <c r="G34" s="166"/>
      <c r="H34" s="67"/>
      <c r="I34" s="67"/>
      <c r="J34" s="67"/>
      <c r="K34" s="70"/>
      <c r="L34" s="71"/>
      <c r="M34" s="71"/>
      <c r="N34" s="71"/>
      <c r="O34" s="162"/>
      <c r="P34" s="163"/>
      <c r="Q34" s="168">
        <f>withholding!Q45</f>
        <v>0</v>
      </c>
      <c r="R34" s="169"/>
      <c r="S34" s="168">
        <f>withholding!R45</f>
        <v>0</v>
      </c>
      <c r="T34" s="189"/>
      <c r="U34" s="169"/>
    </row>
    <row r="35" spans="1:21" x14ac:dyDescent="0.25">
      <c r="A35" s="67"/>
      <c r="B35" s="89" t="s">
        <v>298</v>
      </c>
      <c r="C35" s="166"/>
      <c r="D35" s="166"/>
      <c r="E35" s="166"/>
      <c r="F35" s="166"/>
      <c r="G35" s="166"/>
      <c r="H35" s="67"/>
      <c r="I35" s="67"/>
      <c r="J35" s="67"/>
      <c r="K35" s="70"/>
      <c r="L35" s="71"/>
      <c r="M35" s="71"/>
      <c r="N35" s="71"/>
      <c r="O35" s="162"/>
      <c r="P35" s="163"/>
      <c r="Q35" s="168">
        <f>withholding!Q46</f>
        <v>0</v>
      </c>
      <c r="R35" s="169"/>
      <c r="S35" s="168">
        <f>withholding!R46</f>
        <v>0</v>
      </c>
      <c r="T35" s="189"/>
      <c r="U35" s="169"/>
    </row>
    <row r="36" spans="1:21" x14ac:dyDescent="0.25">
      <c r="A36" s="67"/>
      <c r="B36" s="89" t="s">
        <v>298</v>
      </c>
      <c r="C36" s="166"/>
      <c r="D36" s="166"/>
      <c r="E36" s="166"/>
      <c r="F36" s="166"/>
      <c r="G36" s="166"/>
      <c r="H36" s="67"/>
      <c r="I36" s="67"/>
      <c r="J36" s="67"/>
      <c r="K36" s="70"/>
      <c r="L36" s="71"/>
      <c r="M36" s="71"/>
      <c r="N36" s="71"/>
      <c r="O36" s="162"/>
      <c r="P36" s="163"/>
      <c r="Q36" s="168">
        <f>withholding!Q47</f>
        <v>0</v>
      </c>
      <c r="R36" s="169"/>
      <c r="S36" s="168">
        <f>withholding!R47</f>
        <v>0</v>
      </c>
      <c r="T36" s="189"/>
      <c r="U36" s="169"/>
    </row>
    <row r="37" spans="1:21" x14ac:dyDescent="0.25">
      <c r="A37" s="67"/>
      <c r="B37" s="89" t="s">
        <v>298</v>
      </c>
      <c r="C37" s="166"/>
      <c r="D37" s="166"/>
      <c r="E37" s="166"/>
      <c r="F37" s="166"/>
      <c r="G37" s="166"/>
      <c r="H37" s="67"/>
      <c r="I37" s="67"/>
      <c r="J37" s="67"/>
      <c r="K37" s="70"/>
      <c r="L37" s="71"/>
      <c r="M37" s="71"/>
      <c r="N37" s="71"/>
      <c r="O37" s="162"/>
      <c r="P37" s="163"/>
      <c r="Q37" s="168">
        <f>withholding!Q48</f>
        <v>0</v>
      </c>
      <c r="R37" s="169"/>
      <c r="S37" s="168">
        <f>withholding!R48</f>
        <v>0</v>
      </c>
      <c r="T37" s="189"/>
      <c r="U37" s="169"/>
    </row>
    <row r="38" spans="1:21" ht="9" customHeight="1" x14ac:dyDescent="0.25">
      <c r="A38" s="5"/>
      <c r="B38" s="5"/>
      <c r="C38" s="74"/>
      <c r="D38" s="74"/>
      <c r="E38" s="74"/>
      <c r="F38" s="74"/>
      <c r="G38" s="74"/>
      <c r="H38" s="74"/>
      <c r="I38" s="74"/>
      <c r="J38" s="74"/>
      <c r="K38" s="75"/>
      <c r="L38" s="75"/>
      <c r="M38" s="75"/>
      <c r="N38" s="75"/>
      <c r="O38" s="76"/>
      <c r="P38" s="76"/>
      <c r="Q38" s="77"/>
      <c r="R38" s="77"/>
      <c r="S38" s="77"/>
      <c r="T38" s="77"/>
      <c r="U38" s="77"/>
    </row>
    <row r="39" spans="1:21" x14ac:dyDescent="0.25">
      <c r="A39" s="11" t="s">
        <v>27</v>
      </c>
      <c r="B39" s="11"/>
    </row>
    <row r="40" spans="1:21" x14ac:dyDescent="0.25">
      <c r="A40" s="8" t="s">
        <v>403</v>
      </c>
      <c r="B40" s="8"/>
      <c r="C40" t="s">
        <v>404</v>
      </c>
      <c r="R40" s="8" t="s">
        <v>403</v>
      </c>
      <c r="S40" s="160">
        <f>withholding!T49</f>
        <v>0</v>
      </c>
      <c r="T40" s="160"/>
      <c r="U40" s="160"/>
    </row>
    <row r="41" spans="1:21" x14ac:dyDescent="0.25">
      <c r="A41" s="8" t="s">
        <v>403</v>
      </c>
      <c r="B41" s="8"/>
      <c r="C41" t="s">
        <v>378</v>
      </c>
      <c r="R41" s="8" t="s">
        <v>403</v>
      </c>
      <c r="S41" s="160">
        <f>withholding!U49</f>
        <v>0</v>
      </c>
      <c r="T41" s="160"/>
      <c r="U41" s="160"/>
    </row>
    <row r="42" spans="1:21" ht="15" customHeight="1" x14ac:dyDescent="0.25">
      <c r="A42" s="153" t="s">
        <v>406</v>
      </c>
      <c r="B42" s="8"/>
      <c r="C42" s="167" t="s">
        <v>340</v>
      </c>
      <c r="D42" s="167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26"/>
      <c r="P42" s="26"/>
      <c r="Q42" s="86" t="s">
        <v>24</v>
      </c>
      <c r="R42" s="153" t="s">
        <v>406</v>
      </c>
      <c r="S42" s="164"/>
      <c r="T42" s="164"/>
      <c r="U42" s="164"/>
    </row>
    <row r="43" spans="1:21" ht="15" customHeight="1" x14ac:dyDescent="0.25">
      <c r="A43" s="153" t="s">
        <v>406</v>
      </c>
      <c r="B43" s="8"/>
      <c r="C43" s="167" t="s">
        <v>276</v>
      </c>
      <c r="D43" s="167"/>
      <c r="E43" s="167"/>
      <c r="F43" s="167"/>
      <c r="G43" s="167"/>
      <c r="H43" s="167"/>
      <c r="I43" s="167"/>
      <c r="J43" s="85"/>
      <c r="K43" t="s">
        <v>255</v>
      </c>
      <c r="Q43" s="86" t="s">
        <v>24</v>
      </c>
      <c r="R43" s="153" t="s">
        <v>406</v>
      </c>
      <c r="S43" s="164"/>
      <c r="T43" s="164"/>
      <c r="U43" s="164"/>
    </row>
    <row r="44" spans="1:21" ht="15" customHeight="1" x14ac:dyDescent="0.25">
      <c r="A44" s="153" t="s">
        <v>406</v>
      </c>
      <c r="B44" s="8"/>
      <c r="C44" s="167" t="s">
        <v>276</v>
      </c>
      <c r="D44" s="167"/>
      <c r="E44" s="167"/>
      <c r="F44" s="167"/>
      <c r="G44" s="167"/>
      <c r="H44" s="167"/>
      <c r="I44" s="167"/>
      <c r="J44" s="85"/>
      <c r="K44" t="s">
        <v>255</v>
      </c>
      <c r="Q44" s="86" t="s">
        <v>24</v>
      </c>
      <c r="R44" s="153" t="s">
        <v>406</v>
      </c>
      <c r="S44" s="164"/>
      <c r="T44" s="164"/>
      <c r="U44" s="164"/>
    </row>
    <row r="45" spans="1:21" x14ac:dyDescent="0.25">
      <c r="A45" s="153" t="s">
        <v>410</v>
      </c>
      <c r="B45" s="8"/>
      <c r="C45" t="s">
        <v>33</v>
      </c>
      <c r="H45" t="s">
        <v>72</v>
      </c>
      <c r="K45" s="164">
        <v>0</v>
      </c>
      <c r="L45" s="164"/>
      <c r="M45" s="164"/>
      <c r="N45" s="164"/>
      <c r="O45" t="s">
        <v>218</v>
      </c>
      <c r="R45" s="153" t="s">
        <v>410</v>
      </c>
      <c r="S45" s="164"/>
      <c r="T45" s="164"/>
      <c r="U45" s="164"/>
    </row>
    <row r="46" spans="1:21" x14ac:dyDescent="0.25">
      <c r="A46" s="153" t="s">
        <v>410</v>
      </c>
      <c r="B46" s="8"/>
      <c r="C46" t="s">
        <v>34</v>
      </c>
      <c r="H46" t="s">
        <v>72</v>
      </c>
      <c r="K46" s="164">
        <v>0</v>
      </c>
      <c r="L46" s="164"/>
      <c r="M46" s="164"/>
      <c r="N46" s="164"/>
      <c r="O46" t="s">
        <v>218</v>
      </c>
      <c r="R46" s="153" t="s">
        <v>410</v>
      </c>
      <c r="S46" s="164"/>
      <c r="T46" s="164"/>
      <c r="U46" s="164"/>
    </row>
    <row r="47" spans="1:21" x14ac:dyDescent="0.25">
      <c r="A47" s="153" t="s">
        <v>411</v>
      </c>
      <c r="B47" s="8"/>
      <c r="C47" t="s">
        <v>333</v>
      </c>
      <c r="R47" s="153" t="s">
        <v>411</v>
      </c>
      <c r="S47" s="164"/>
      <c r="T47" s="164"/>
      <c r="U47" s="164"/>
    </row>
    <row r="48" spans="1:21" x14ac:dyDescent="0.25">
      <c r="A48" s="8">
        <v>6</v>
      </c>
      <c r="B48" s="8"/>
      <c r="C48" t="s">
        <v>20</v>
      </c>
      <c r="J48" s="164"/>
      <c r="K48" s="164"/>
      <c r="M48" t="s">
        <v>332</v>
      </c>
      <c r="R48" s="8">
        <v>6</v>
      </c>
      <c r="S48" s="160">
        <f>'SS PT SD SINT'!B21</f>
        <v>0</v>
      </c>
      <c r="T48" s="160"/>
      <c r="U48" s="160"/>
    </row>
    <row r="49" spans="1:23" x14ac:dyDescent="0.25">
      <c r="A49" s="152" t="s">
        <v>91</v>
      </c>
      <c r="B49" s="8"/>
      <c r="C49" t="s">
        <v>334</v>
      </c>
      <c r="R49" s="152" t="s">
        <v>91</v>
      </c>
      <c r="S49" s="164">
        <v>0</v>
      </c>
      <c r="T49" s="164"/>
      <c r="U49" s="164"/>
    </row>
    <row r="50" spans="1:23" x14ac:dyDescent="0.25">
      <c r="A50" s="8">
        <v>9</v>
      </c>
      <c r="B50" s="8"/>
      <c r="C50" t="s">
        <v>316</v>
      </c>
      <c r="R50" s="8">
        <v>9</v>
      </c>
      <c r="S50" s="160">
        <f>S21+S22+S23+S24+S25+S26+S27+S28+S29+S30+S40+S41+S42+S45+S46+S47+S48+S49+S43+S44</f>
        <v>0</v>
      </c>
      <c r="T50" s="160"/>
      <c r="U50" s="160"/>
    </row>
    <row r="51" spans="1:23" x14ac:dyDescent="0.25">
      <c r="A51" s="12" t="s">
        <v>28</v>
      </c>
      <c r="B51" s="12"/>
      <c r="R51" s="8"/>
      <c r="S51" s="8"/>
      <c r="T51" s="8"/>
      <c r="U51" s="8"/>
    </row>
    <row r="52" spans="1:23" x14ac:dyDescent="0.25">
      <c r="A52" s="153" t="s">
        <v>412</v>
      </c>
      <c r="B52" s="8"/>
      <c r="C52" t="s">
        <v>317</v>
      </c>
      <c r="R52" s="153" t="s">
        <v>412</v>
      </c>
      <c r="S52" s="253"/>
      <c r="T52" s="164"/>
      <c r="U52" s="164"/>
    </row>
    <row r="53" spans="1:23" x14ac:dyDescent="0.25">
      <c r="A53" s="153" t="s">
        <v>413</v>
      </c>
      <c r="B53" s="8"/>
      <c r="C53" t="s">
        <v>318</v>
      </c>
      <c r="R53" s="153" t="s">
        <v>413</v>
      </c>
      <c r="S53" s="253"/>
      <c r="T53" s="164"/>
      <c r="U53" s="164"/>
    </row>
    <row r="54" spans="1:23" x14ac:dyDescent="0.25">
      <c r="A54" s="153" t="s">
        <v>414</v>
      </c>
      <c r="B54" s="8"/>
      <c r="C54" t="s">
        <v>319</v>
      </c>
      <c r="R54" s="153" t="s">
        <v>414</v>
      </c>
      <c r="S54" s="253"/>
      <c r="T54" s="164"/>
      <c r="U54" s="164"/>
    </row>
    <row r="55" spans="1:23" hidden="1" x14ac:dyDescent="0.25">
      <c r="A55" s="8">
        <v>26</v>
      </c>
      <c r="B55" s="8"/>
      <c r="C55" t="s">
        <v>219</v>
      </c>
      <c r="R55" s="8">
        <v>26</v>
      </c>
      <c r="S55" s="162">
        <v>0</v>
      </c>
      <c r="T55" s="170"/>
      <c r="U55" s="163"/>
    </row>
    <row r="56" spans="1:23" x14ac:dyDescent="0.25">
      <c r="A56" s="153" t="s">
        <v>415</v>
      </c>
      <c r="B56" s="8"/>
      <c r="C56" t="s">
        <v>320</v>
      </c>
      <c r="R56" s="153" t="s">
        <v>415</v>
      </c>
      <c r="S56" s="160">
        <f>ROUND('SS PT SD SINT'!B37+'SS PT SD SINT'!E37,0)</f>
        <v>0</v>
      </c>
      <c r="T56" s="160"/>
      <c r="U56" s="160"/>
    </row>
    <row r="57" spans="1:23" x14ac:dyDescent="0.25">
      <c r="A57" s="153" t="s">
        <v>416</v>
      </c>
      <c r="B57" s="8"/>
      <c r="C57" t="s">
        <v>321</v>
      </c>
      <c r="R57" s="153" t="s">
        <v>416</v>
      </c>
      <c r="S57" s="164"/>
      <c r="T57" s="164"/>
      <c r="U57" s="164"/>
    </row>
    <row r="58" spans="1:23" x14ac:dyDescent="0.25">
      <c r="A58" s="153" t="s">
        <v>417</v>
      </c>
      <c r="B58" s="8"/>
      <c r="C58" t="s">
        <v>322</v>
      </c>
      <c r="R58" s="153" t="s">
        <v>417</v>
      </c>
      <c r="S58" s="164"/>
      <c r="T58" s="164"/>
      <c r="U58" s="164"/>
    </row>
    <row r="59" spans="1:23" x14ac:dyDescent="0.25">
      <c r="A59" s="153" t="s">
        <v>418</v>
      </c>
      <c r="B59" s="8"/>
      <c r="C59" t="s">
        <v>323</v>
      </c>
      <c r="R59" s="153" t="s">
        <v>418</v>
      </c>
      <c r="S59" s="164"/>
      <c r="T59" s="164"/>
      <c r="U59" s="164"/>
    </row>
    <row r="60" spans="1:23" x14ac:dyDescent="0.25">
      <c r="A60" s="153" t="s">
        <v>419</v>
      </c>
      <c r="B60" s="8"/>
      <c r="C60" t="s">
        <v>324</v>
      </c>
      <c r="R60" s="153" t="s">
        <v>419</v>
      </c>
      <c r="S60" s="164"/>
      <c r="T60" s="164"/>
      <c r="U60" s="164"/>
    </row>
    <row r="61" spans="1:23" x14ac:dyDescent="0.25">
      <c r="A61" s="153" t="s">
        <v>420</v>
      </c>
      <c r="B61" s="8"/>
      <c r="C61" t="s">
        <v>325</v>
      </c>
      <c r="R61" s="153" t="s">
        <v>420</v>
      </c>
      <c r="S61" s="164"/>
      <c r="T61" s="164"/>
      <c r="U61" s="164"/>
    </row>
    <row r="62" spans="1:23" x14ac:dyDescent="0.25">
      <c r="A62" s="153" t="s">
        <v>421</v>
      </c>
      <c r="B62" s="8"/>
      <c r="C62" t="s">
        <v>326</v>
      </c>
      <c r="I62" s="164"/>
      <c r="J62" s="164"/>
      <c r="K62" s="8" t="s">
        <v>327</v>
      </c>
      <c r="L62" s="8"/>
      <c r="M62" s="8"/>
      <c r="N62" s="8"/>
      <c r="O62" s="8"/>
      <c r="P62" s="8"/>
      <c r="R62" s="153" t="s">
        <v>421</v>
      </c>
      <c r="S62" s="160">
        <f>'SS PT SD SINT'!H34</f>
        <v>0</v>
      </c>
      <c r="T62" s="160"/>
      <c r="U62" s="160"/>
      <c r="W62" t="s">
        <v>24</v>
      </c>
    </row>
    <row r="63" spans="1:23" x14ac:dyDescent="0.25">
      <c r="A63" s="153" t="s">
        <v>422</v>
      </c>
      <c r="B63" s="8"/>
      <c r="C63" t="s">
        <v>328</v>
      </c>
      <c r="R63" s="153" t="s">
        <v>422</v>
      </c>
      <c r="S63" s="164"/>
      <c r="T63" s="164"/>
      <c r="U63" s="164"/>
    </row>
    <row r="64" spans="1:23" x14ac:dyDescent="0.25">
      <c r="A64" s="8" t="s">
        <v>425</v>
      </c>
      <c r="C64" t="s">
        <v>426</v>
      </c>
      <c r="R64" s="8" t="s">
        <v>425</v>
      </c>
      <c r="S64" s="164"/>
      <c r="T64" s="164"/>
      <c r="U64" s="164"/>
    </row>
    <row r="65" spans="1:21" x14ac:dyDescent="0.25">
      <c r="A65" s="8" t="s">
        <v>427</v>
      </c>
      <c r="B65" s="8"/>
      <c r="C65" t="s">
        <v>428</v>
      </c>
      <c r="R65" s="8" t="s">
        <v>427</v>
      </c>
      <c r="S65" s="160">
        <f>SUM(S52:S64)</f>
        <v>0</v>
      </c>
      <c r="T65" s="160"/>
      <c r="U65" s="160"/>
    </row>
    <row r="66" spans="1:21" x14ac:dyDescent="0.25">
      <c r="A66" s="8">
        <v>11</v>
      </c>
      <c r="B66" s="8"/>
      <c r="C66" t="s">
        <v>330</v>
      </c>
      <c r="R66" s="8">
        <v>11</v>
      </c>
      <c r="S66" s="160">
        <f>S50-S65</f>
        <v>0</v>
      </c>
      <c r="T66" s="160"/>
      <c r="U66" s="160"/>
    </row>
    <row r="67" spans="1:21" x14ac:dyDescent="0.25">
      <c r="A67" s="8">
        <v>13</v>
      </c>
      <c r="B67" s="8"/>
      <c r="C67" t="s">
        <v>393</v>
      </c>
      <c r="R67" s="8">
        <v>13</v>
      </c>
      <c r="S67" s="160">
        <f>qbi!F11</f>
        <v>0</v>
      </c>
      <c r="T67" s="160"/>
      <c r="U67" s="160"/>
    </row>
    <row r="68" spans="1:21" x14ac:dyDescent="0.25">
      <c r="A68" s="8">
        <v>13</v>
      </c>
      <c r="B68" s="8"/>
      <c r="C68" t="s">
        <v>392</v>
      </c>
      <c r="M68" s="252"/>
      <c r="N68" s="252"/>
      <c r="O68" s="252"/>
      <c r="P68" s="252"/>
      <c r="Q68" s="252"/>
      <c r="R68" s="8">
        <v>13</v>
      </c>
      <c r="S68" s="164">
        <v>0</v>
      </c>
      <c r="T68" s="164"/>
      <c r="U68" s="164"/>
    </row>
    <row r="69" spans="1:21" x14ac:dyDescent="0.25">
      <c r="A69" s="8">
        <v>13</v>
      </c>
      <c r="B69" s="8"/>
      <c r="C69" t="s">
        <v>441</v>
      </c>
      <c r="R69" s="8">
        <v>11</v>
      </c>
      <c r="S69" s="160">
        <f>S50-S65</f>
        <v>0</v>
      </c>
      <c r="T69" s="160"/>
      <c r="U69" s="160"/>
    </row>
    <row r="70" spans="1:21" x14ac:dyDescent="0.25">
      <c r="A70" s="11" t="s">
        <v>424</v>
      </c>
      <c r="B70" s="11"/>
    </row>
    <row r="71" spans="1:21" ht="3" customHeight="1" x14ac:dyDescent="0.25">
      <c r="A71" s="15"/>
      <c r="B71" s="15"/>
      <c r="C71" s="16"/>
      <c r="D71" s="16"/>
      <c r="E71" s="16"/>
      <c r="F71" s="16"/>
      <c r="G71" s="16"/>
      <c r="H71" s="16"/>
      <c r="I71" s="16"/>
      <c r="J71" s="17"/>
      <c r="K71" s="17"/>
      <c r="L71" s="17"/>
      <c r="M71" s="17"/>
      <c r="N71" s="17"/>
      <c r="O71" s="16"/>
      <c r="P71" s="16"/>
      <c r="Q71" s="16"/>
      <c r="R71" s="16"/>
      <c r="S71" s="18"/>
      <c r="T71" s="18"/>
      <c r="U71" s="18"/>
    </row>
    <row r="72" spans="1:21" x14ac:dyDescent="0.25">
      <c r="A72" s="11" t="s">
        <v>35</v>
      </c>
      <c r="B72" s="11"/>
    </row>
    <row r="73" spans="1:21" x14ac:dyDescent="0.25">
      <c r="A73" t="s">
        <v>221</v>
      </c>
      <c r="C73" t="s">
        <v>83</v>
      </c>
      <c r="F73" s="162"/>
      <c r="G73" s="163"/>
      <c r="H73" s="79" t="s">
        <v>315</v>
      </c>
      <c r="I73" s="211">
        <f>S69*0.075</f>
        <v>0</v>
      </c>
      <c r="J73" s="212"/>
      <c r="K73" t="s">
        <v>331</v>
      </c>
      <c r="R73" t="s">
        <v>222</v>
      </c>
      <c r="S73" s="168">
        <f>IF(F73&gt;I73,F73-I73,0)</f>
        <v>0</v>
      </c>
      <c r="T73" s="189"/>
      <c r="U73" s="169"/>
    </row>
    <row r="74" spans="1:21" x14ac:dyDescent="0.25">
      <c r="A74" t="s">
        <v>223</v>
      </c>
      <c r="C74" t="s">
        <v>74</v>
      </c>
      <c r="G74" t="s">
        <v>200</v>
      </c>
      <c r="J74" s="154">
        <f>SUM(S127:T141)</f>
        <v>0</v>
      </c>
      <c r="K74" s="154"/>
      <c r="M74" t="s">
        <v>429</v>
      </c>
      <c r="P74" s="207"/>
      <c r="Q74" s="208"/>
      <c r="R74" t="s">
        <v>223</v>
      </c>
      <c r="S74" s="168">
        <f>P74+J74</f>
        <v>0</v>
      </c>
      <c r="T74" s="189"/>
      <c r="U74" s="169"/>
    </row>
    <row r="75" spans="1:21" x14ac:dyDescent="0.25">
      <c r="A75" t="s">
        <v>224</v>
      </c>
      <c r="C75" t="s">
        <v>341</v>
      </c>
      <c r="R75" t="s">
        <v>224</v>
      </c>
      <c r="S75" s="162"/>
      <c r="T75" s="170"/>
      <c r="U75" s="163"/>
    </row>
    <row r="76" spans="1:21" x14ac:dyDescent="0.25">
      <c r="A76" t="s">
        <v>225</v>
      </c>
      <c r="C76" t="s">
        <v>342</v>
      </c>
      <c r="R76" t="s">
        <v>225</v>
      </c>
      <c r="S76" s="162"/>
      <c r="T76" s="170"/>
      <c r="U76" s="163"/>
    </row>
    <row r="77" spans="1:21" x14ac:dyDescent="0.25">
      <c r="C77" t="s">
        <v>343</v>
      </c>
      <c r="S77" s="168">
        <f>MIN(S74+S75+S76,'tax CCC CTC'!H13)</f>
        <v>0</v>
      </c>
      <c r="T77" s="189"/>
      <c r="U77" s="169"/>
    </row>
    <row r="78" spans="1:21" x14ac:dyDescent="0.25">
      <c r="A78" t="s">
        <v>226</v>
      </c>
      <c r="C78" t="s">
        <v>107</v>
      </c>
      <c r="H78" s="162"/>
      <c r="I78" s="163"/>
      <c r="J78" s="72" t="s">
        <v>108</v>
      </c>
      <c r="L78" s="164"/>
      <c r="M78" s="164"/>
      <c r="N78" s="8" t="s">
        <v>109</v>
      </c>
      <c r="O78" s="162"/>
      <c r="P78" s="163"/>
      <c r="Q78" t="s">
        <v>220</v>
      </c>
      <c r="R78" t="s">
        <v>226</v>
      </c>
      <c r="S78" s="168">
        <f>O78+L78+H78</f>
        <v>0</v>
      </c>
      <c r="T78" s="189"/>
      <c r="U78" s="169"/>
    </row>
    <row r="79" spans="1:21" x14ac:dyDescent="0.25">
      <c r="A79" t="s">
        <v>227</v>
      </c>
      <c r="C79" t="s">
        <v>344</v>
      </c>
      <c r="R79" t="s">
        <v>227</v>
      </c>
      <c r="S79" s="162"/>
      <c r="T79" s="170"/>
      <c r="U79" s="163"/>
    </row>
    <row r="80" spans="1:21" x14ac:dyDescent="0.25">
      <c r="C80" t="s">
        <v>345</v>
      </c>
      <c r="S80" s="162"/>
      <c r="T80" s="170"/>
      <c r="U80" s="163"/>
    </row>
    <row r="81" spans="1:21" x14ac:dyDescent="0.25">
      <c r="A81" t="s">
        <v>228</v>
      </c>
      <c r="C81" t="s">
        <v>388</v>
      </c>
      <c r="J81" s="6"/>
      <c r="K81" s="6"/>
      <c r="L81" s="6"/>
      <c r="M81" s="6"/>
      <c r="N81" s="6"/>
      <c r="R81" t="s">
        <v>228</v>
      </c>
      <c r="S81" s="162"/>
      <c r="T81" s="170"/>
      <c r="U81" s="163"/>
    </row>
    <row r="82" spans="1:21" x14ac:dyDescent="0.25">
      <c r="A82" t="s">
        <v>229</v>
      </c>
      <c r="C82" t="s">
        <v>346</v>
      </c>
      <c r="J82" s="6"/>
      <c r="K82" s="6"/>
      <c r="L82" s="6"/>
      <c r="M82" s="6"/>
      <c r="N82" s="6"/>
      <c r="R82" t="s">
        <v>229</v>
      </c>
      <c r="S82" s="168">
        <f>SUM(S73+S77+S78+S79+S80+S81)</f>
        <v>0</v>
      </c>
      <c r="T82" s="189"/>
      <c r="U82" s="169"/>
    </row>
    <row r="83" spans="1:21" ht="3" customHeight="1" x14ac:dyDescent="0.25">
      <c r="A83" s="15"/>
      <c r="B83" s="15"/>
      <c r="C83" s="16"/>
      <c r="D83" s="16"/>
      <c r="E83" s="16"/>
      <c r="F83" s="16"/>
      <c r="G83" s="16"/>
      <c r="H83" s="16"/>
      <c r="I83" s="16"/>
      <c r="J83" s="17"/>
      <c r="K83" s="17"/>
      <c r="L83" s="17"/>
      <c r="M83" s="17"/>
      <c r="N83" s="17"/>
      <c r="O83" s="16"/>
      <c r="P83" s="16"/>
      <c r="Q83" s="16"/>
      <c r="R83" s="16"/>
      <c r="S83" s="18"/>
      <c r="T83" s="18"/>
      <c r="U83" s="18"/>
    </row>
    <row r="84" spans="1:21" x14ac:dyDescent="0.25">
      <c r="A84" s="8">
        <v>12</v>
      </c>
      <c r="B84" s="8"/>
      <c r="C84" t="s">
        <v>347</v>
      </c>
      <c r="R84" s="8">
        <v>12</v>
      </c>
      <c r="S84" s="168">
        <f>'SS PT SD SINT'!G13</f>
        <v>25100</v>
      </c>
      <c r="T84" s="189"/>
      <c r="U84" s="169"/>
    </row>
    <row r="85" spans="1:21" x14ac:dyDescent="0.25">
      <c r="A85" s="8">
        <v>12</v>
      </c>
      <c r="B85" s="8"/>
      <c r="C85" t="s">
        <v>423</v>
      </c>
      <c r="R85" s="8">
        <v>12</v>
      </c>
      <c r="S85" s="168">
        <f>IF(S82&gt;S84,S82,S84)</f>
        <v>25100</v>
      </c>
      <c r="T85" s="189"/>
      <c r="U85" s="169"/>
    </row>
    <row r="86" spans="1:21" x14ac:dyDescent="0.25">
      <c r="A86" s="8">
        <v>14</v>
      </c>
      <c r="B86" s="8"/>
      <c r="C86" t="s">
        <v>431</v>
      </c>
      <c r="R86" s="8">
        <v>14</v>
      </c>
      <c r="S86" s="168">
        <f>S85+S67+S68</f>
        <v>25100</v>
      </c>
      <c r="T86" s="189"/>
      <c r="U86" s="169"/>
    </row>
    <row r="87" spans="1:21" x14ac:dyDescent="0.25">
      <c r="A87" s="12">
        <v>15</v>
      </c>
      <c r="B87" s="12"/>
      <c r="C87" s="11" t="s">
        <v>350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2">
        <v>15</v>
      </c>
      <c r="S87" s="160">
        <f>S69-S86</f>
        <v>-25100</v>
      </c>
      <c r="T87" s="160"/>
      <c r="U87" s="160"/>
    </row>
    <row r="88" spans="1:21" x14ac:dyDescent="0.25">
      <c r="A88" s="8">
        <v>16</v>
      </c>
      <c r="B88" s="8"/>
      <c r="C88" t="s">
        <v>351</v>
      </c>
      <c r="R88" s="8">
        <v>16</v>
      </c>
      <c r="S88" s="160">
        <f>'tax CCC CTC'!D10</f>
        <v>0</v>
      </c>
      <c r="T88" s="160"/>
      <c r="U88" s="160"/>
    </row>
    <row r="89" spans="1:21" x14ac:dyDescent="0.25">
      <c r="A89" s="153">
        <v>17</v>
      </c>
      <c r="B89" s="8"/>
      <c r="C89" t="s">
        <v>352</v>
      </c>
      <c r="R89" s="153">
        <v>17</v>
      </c>
      <c r="S89" s="164">
        <v>0</v>
      </c>
      <c r="T89" s="164"/>
      <c r="U89" s="164"/>
    </row>
    <row r="90" spans="1:21" x14ac:dyDescent="0.25">
      <c r="A90" s="153">
        <v>17</v>
      </c>
      <c r="B90" s="8"/>
      <c r="C90" t="s">
        <v>353</v>
      </c>
      <c r="R90" s="153">
        <v>17</v>
      </c>
      <c r="S90" s="164">
        <v>0</v>
      </c>
      <c r="T90" s="164"/>
      <c r="U90" s="164"/>
    </row>
    <row r="91" spans="1:21" x14ac:dyDescent="0.25">
      <c r="A91" s="153">
        <v>18</v>
      </c>
      <c r="B91" s="8"/>
      <c r="C91" t="s">
        <v>354</v>
      </c>
      <c r="R91" s="153">
        <v>18</v>
      </c>
      <c r="S91" s="210">
        <f>S88+S89+S90</f>
        <v>0</v>
      </c>
      <c r="T91" s="210"/>
      <c r="U91" s="210"/>
    </row>
    <row r="92" spans="1:21" x14ac:dyDescent="0.25">
      <c r="A92" s="12" t="s">
        <v>106</v>
      </c>
      <c r="B92" s="12"/>
      <c r="R92" s="8"/>
      <c r="S92" s="32"/>
      <c r="T92" s="32"/>
      <c r="U92" s="32"/>
    </row>
    <row r="93" spans="1:21" x14ac:dyDescent="0.25">
      <c r="A93" s="153" t="s">
        <v>442</v>
      </c>
      <c r="B93" s="8"/>
      <c r="C93" t="s">
        <v>355</v>
      </c>
      <c r="R93" s="153" t="s">
        <v>442</v>
      </c>
      <c r="S93" s="164">
        <v>0</v>
      </c>
      <c r="T93" s="164"/>
      <c r="U93" s="164"/>
    </row>
    <row r="94" spans="1:21" x14ac:dyDescent="0.25">
      <c r="A94" s="153" t="s">
        <v>443</v>
      </c>
      <c r="B94" s="8"/>
      <c r="C94" t="s">
        <v>25</v>
      </c>
      <c r="F94" t="s">
        <v>430</v>
      </c>
      <c r="H94" s="67"/>
      <c r="J94" t="s">
        <v>23</v>
      </c>
      <c r="P94" s="162"/>
      <c r="Q94" s="163"/>
      <c r="R94" s="153" t="s">
        <v>443</v>
      </c>
      <c r="S94" s="160">
        <f>'tax CCC CTC'!B27</f>
        <v>0</v>
      </c>
      <c r="T94" s="160"/>
      <c r="U94" s="160"/>
    </row>
    <row r="95" spans="1:21" x14ac:dyDescent="0.25">
      <c r="A95" s="153" t="s">
        <v>444</v>
      </c>
      <c r="B95" s="8"/>
      <c r="C95" t="s">
        <v>356</v>
      </c>
      <c r="R95" s="153" t="s">
        <v>444</v>
      </c>
      <c r="S95" s="164">
        <v>0</v>
      </c>
      <c r="T95" s="164"/>
      <c r="U95" s="164"/>
    </row>
    <row r="96" spans="1:21" x14ac:dyDescent="0.25">
      <c r="A96" s="153" t="s">
        <v>445</v>
      </c>
      <c r="B96" s="8"/>
      <c r="C96" t="s">
        <v>357</v>
      </c>
      <c r="R96" s="153" t="s">
        <v>445</v>
      </c>
      <c r="S96" s="164">
        <v>0</v>
      </c>
      <c r="T96" s="164"/>
      <c r="U96" s="164"/>
    </row>
    <row r="97" spans="1:21" x14ac:dyDescent="0.25">
      <c r="A97" s="8">
        <v>19</v>
      </c>
      <c r="B97" s="8"/>
      <c r="C97" t="s">
        <v>358</v>
      </c>
      <c r="R97" s="8">
        <v>19</v>
      </c>
      <c r="S97" s="160">
        <f>'tax CCC CTC'!B42</f>
        <v>0</v>
      </c>
      <c r="T97" s="160"/>
      <c r="U97" s="160"/>
    </row>
    <row r="98" spans="1:21" x14ac:dyDescent="0.25">
      <c r="A98" s="153" t="s">
        <v>446</v>
      </c>
      <c r="B98" s="8"/>
      <c r="C98" t="s">
        <v>359</v>
      </c>
      <c r="R98" s="153" t="s">
        <v>446</v>
      </c>
      <c r="S98" s="164">
        <v>0</v>
      </c>
      <c r="T98" s="164"/>
      <c r="U98" s="164"/>
    </row>
    <row r="99" spans="1:21" x14ac:dyDescent="0.25">
      <c r="A99" s="153" t="s">
        <v>447</v>
      </c>
      <c r="B99" s="8"/>
      <c r="C99" t="s">
        <v>360</v>
      </c>
      <c r="R99" s="153" t="s">
        <v>447</v>
      </c>
      <c r="S99" s="164">
        <v>0</v>
      </c>
      <c r="T99" s="164"/>
      <c r="U99" s="164"/>
    </row>
    <row r="100" spans="1:21" x14ac:dyDescent="0.25">
      <c r="A100" s="153">
        <v>21</v>
      </c>
      <c r="B100" s="8"/>
      <c r="C100" t="s">
        <v>467</v>
      </c>
      <c r="R100" s="153">
        <v>21</v>
      </c>
      <c r="S100" s="160">
        <f>SUM(S93:U99)</f>
        <v>0</v>
      </c>
      <c r="T100" s="160"/>
      <c r="U100" s="160"/>
    </row>
    <row r="101" spans="1:21" x14ac:dyDescent="0.25">
      <c r="A101" s="8">
        <v>22</v>
      </c>
      <c r="B101" s="8"/>
      <c r="C101" t="s">
        <v>448</v>
      </c>
      <c r="R101" s="8">
        <v>22</v>
      </c>
      <c r="S101" s="160">
        <f>IF(S91&gt;S100,S91-S100,0)</f>
        <v>0</v>
      </c>
      <c r="T101" s="160"/>
      <c r="U101" s="160"/>
    </row>
    <row r="102" spans="1:21" x14ac:dyDescent="0.25">
      <c r="A102" s="11" t="s">
        <v>30</v>
      </c>
      <c r="B102" s="11"/>
    </row>
    <row r="103" spans="1:21" x14ac:dyDescent="0.25">
      <c r="A103" s="152" t="s">
        <v>449</v>
      </c>
      <c r="B103" s="8"/>
      <c r="C103" t="s">
        <v>363</v>
      </c>
      <c r="R103" s="152" t="s">
        <v>449</v>
      </c>
      <c r="S103" s="160">
        <f>ROUND('SS PT SD SINT'!E36+'SS PT SD SINT'!B36,0)</f>
        <v>0</v>
      </c>
      <c r="T103" s="160"/>
      <c r="U103" s="160"/>
    </row>
    <row r="104" spans="1:21" x14ac:dyDescent="0.25">
      <c r="A104" s="153" t="s">
        <v>450</v>
      </c>
      <c r="B104" s="8"/>
      <c r="C104" t="s">
        <v>364</v>
      </c>
      <c r="R104" s="153" t="s">
        <v>450</v>
      </c>
      <c r="S104" s="164">
        <v>0</v>
      </c>
      <c r="T104" s="164"/>
      <c r="U104" s="164"/>
    </row>
    <row r="105" spans="1:21" x14ac:dyDescent="0.25">
      <c r="A105" s="153" t="s">
        <v>451</v>
      </c>
      <c r="B105" s="8"/>
      <c r="C105" t="s">
        <v>365</v>
      </c>
      <c r="R105" s="153" t="s">
        <v>451</v>
      </c>
      <c r="S105" s="164"/>
      <c r="T105" s="164"/>
      <c r="U105" s="164"/>
    </row>
    <row r="106" spans="1:21" x14ac:dyDescent="0.25">
      <c r="A106" s="29" t="s">
        <v>452</v>
      </c>
      <c r="C106" t="s">
        <v>454</v>
      </c>
      <c r="R106" s="29" t="s">
        <v>452</v>
      </c>
      <c r="S106" s="164">
        <v>0</v>
      </c>
      <c r="T106" s="164"/>
      <c r="U106" s="164"/>
    </row>
    <row r="107" spans="1:21" x14ac:dyDescent="0.25">
      <c r="A107" s="29" t="s">
        <v>453</v>
      </c>
      <c r="C107" t="s">
        <v>455</v>
      </c>
      <c r="R107" s="29" t="s">
        <v>453</v>
      </c>
      <c r="S107" s="164">
        <v>0</v>
      </c>
      <c r="T107" s="164"/>
      <c r="U107" s="164"/>
    </row>
    <row r="108" spans="1:21" x14ac:dyDescent="0.25">
      <c r="A108" s="153" t="s">
        <v>456</v>
      </c>
      <c r="B108" s="8"/>
      <c r="C108" t="s">
        <v>457</v>
      </c>
      <c r="R108" s="153" t="s">
        <v>456</v>
      </c>
      <c r="S108" s="164">
        <v>0</v>
      </c>
      <c r="T108" s="164"/>
      <c r="U108" s="164"/>
    </row>
    <row r="109" spans="1:21" x14ac:dyDescent="0.25">
      <c r="A109" s="153" t="s">
        <v>458</v>
      </c>
      <c r="B109" s="8"/>
      <c r="C109" t="s">
        <v>366</v>
      </c>
      <c r="R109" s="153" t="s">
        <v>458</v>
      </c>
      <c r="S109" s="160">
        <f>SUM(S101:U108)</f>
        <v>0</v>
      </c>
      <c r="T109" s="160"/>
      <c r="U109" s="160"/>
    </row>
    <row r="110" spans="1:21" x14ac:dyDescent="0.25">
      <c r="A110" s="11" t="s">
        <v>31</v>
      </c>
      <c r="B110" s="11"/>
    </row>
    <row r="111" spans="1:21" x14ac:dyDescent="0.25">
      <c r="A111" s="8">
        <v>64</v>
      </c>
      <c r="B111" s="8"/>
      <c r="C111" t="s">
        <v>367</v>
      </c>
      <c r="R111" s="8">
        <v>25</v>
      </c>
      <c r="S111" s="160">
        <f>ROUND(withholding!R12+withholding!R49,0)</f>
        <v>0</v>
      </c>
      <c r="T111" s="160"/>
      <c r="U111" s="160"/>
    </row>
    <row r="112" spans="1:21" x14ac:dyDescent="0.25">
      <c r="A112" s="8">
        <v>65</v>
      </c>
      <c r="B112" s="8"/>
      <c r="C112" t="s">
        <v>368</v>
      </c>
      <c r="R112" s="8">
        <v>26</v>
      </c>
      <c r="S112" s="164">
        <v>0</v>
      </c>
      <c r="T112" s="164"/>
      <c r="U112" s="164"/>
    </row>
    <row r="113" spans="1:21" x14ac:dyDescent="0.25">
      <c r="A113" s="8" t="s">
        <v>248</v>
      </c>
      <c r="B113" s="8"/>
      <c r="C113" t="s">
        <v>32</v>
      </c>
      <c r="L113" s="67">
        <v>0</v>
      </c>
      <c r="R113" s="8">
        <v>27</v>
      </c>
      <c r="S113" s="160">
        <f>EIC!B17</f>
        <v>0</v>
      </c>
      <c r="T113" s="160"/>
      <c r="U113" s="160"/>
    </row>
    <row r="114" spans="1:21" x14ac:dyDescent="0.25">
      <c r="A114" s="8">
        <v>67</v>
      </c>
      <c r="B114" s="8"/>
      <c r="C114" t="s">
        <v>277</v>
      </c>
      <c r="H114" t="s">
        <v>174</v>
      </c>
      <c r="O114" s="162">
        <v>0</v>
      </c>
      <c r="P114" s="163"/>
      <c r="Q114" t="s">
        <v>230</v>
      </c>
      <c r="R114" s="8">
        <v>28</v>
      </c>
      <c r="S114" s="160">
        <f>'tax CCC CTC'!B49</f>
        <v>0</v>
      </c>
      <c r="T114" s="160"/>
      <c r="U114" s="160"/>
    </row>
    <row r="115" spans="1:21" x14ac:dyDescent="0.25">
      <c r="A115" s="8">
        <v>68</v>
      </c>
      <c r="B115" s="8"/>
      <c r="C115" t="s">
        <v>369</v>
      </c>
      <c r="R115" s="8">
        <v>29</v>
      </c>
      <c r="S115" s="164">
        <v>0</v>
      </c>
      <c r="T115" s="164"/>
      <c r="U115" s="164"/>
    </row>
    <row r="116" spans="1:21" x14ac:dyDescent="0.25">
      <c r="A116" s="8">
        <v>69</v>
      </c>
      <c r="B116" s="8"/>
      <c r="C116" t="s">
        <v>459</v>
      </c>
      <c r="R116" s="8">
        <v>30</v>
      </c>
      <c r="S116" s="164">
        <v>0</v>
      </c>
      <c r="T116" s="164"/>
      <c r="U116" s="164"/>
    </row>
    <row r="117" spans="1:21" x14ac:dyDescent="0.25">
      <c r="A117" s="8">
        <v>70</v>
      </c>
      <c r="B117" s="8"/>
      <c r="C117" t="s">
        <v>460</v>
      </c>
      <c r="R117" s="153" t="s">
        <v>462</v>
      </c>
      <c r="S117" s="164">
        <v>0</v>
      </c>
      <c r="T117" s="164"/>
      <c r="U117" s="164"/>
    </row>
    <row r="118" spans="1:21" x14ac:dyDescent="0.25">
      <c r="A118" s="8"/>
      <c r="B118" s="8"/>
      <c r="C118" t="s">
        <v>461</v>
      </c>
      <c r="R118" s="153" t="s">
        <v>463</v>
      </c>
      <c r="S118" s="164">
        <v>0</v>
      </c>
      <c r="T118" s="164"/>
      <c r="U118" s="164"/>
    </row>
    <row r="119" spans="1:21" x14ac:dyDescent="0.25">
      <c r="A119" s="8">
        <v>71</v>
      </c>
      <c r="B119" s="8"/>
      <c r="C119" t="s">
        <v>370</v>
      </c>
      <c r="R119" s="153" t="s">
        <v>464</v>
      </c>
      <c r="S119" s="164">
        <v>0</v>
      </c>
      <c r="T119" s="164"/>
      <c r="U119" s="164"/>
    </row>
    <row r="120" spans="1:21" x14ac:dyDescent="0.25">
      <c r="A120" s="8">
        <v>72</v>
      </c>
      <c r="B120" s="8"/>
      <c r="C120" t="s">
        <v>371</v>
      </c>
      <c r="R120" s="153" t="s">
        <v>465</v>
      </c>
      <c r="S120" s="164">
        <v>0</v>
      </c>
      <c r="T120" s="164"/>
      <c r="U120" s="164"/>
    </row>
    <row r="121" spans="1:21" x14ac:dyDescent="0.25">
      <c r="A121" s="8">
        <v>73</v>
      </c>
      <c r="B121" s="8"/>
      <c r="C121" t="s">
        <v>372</v>
      </c>
      <c r="R121" s="153" t="s">
        <v>466</v>
      </c>
      <c r="S121" s="164">
        <v>0</v>
      </c>
      <c r="T121" s="164"/>
      <c r="U121" s="164"/>
    </row>
    <row r="122" spans="1:21" x14ac:dyDescent="0.25">
      <c r="A122" s="8">
        <v>74</v>
      </c>
      <c r="B122" s="8"/>
      <c r="C122" t="s">
        <v>373</v>
      </c>
      <c r="R122" s="8">
        <v>33</v>
      </c>
      <c r="S122" s="160">
        <f>SUM(S111:U121)</f>
        <v>0</v>
      </c>
      <c r="T122" s="160"/>
      <c r="U122" s="160"/>
    </row>
    <row r="123" spans="1:21" x14ac:dyDescent="0.25">
      <c r="A123" s="11" t="s">
        <v>374</v>
      </c>
      <c r="B123" s="11"/>
      <c r="R123" s="12">
        <v>34</v>
      </c>
      <c r="S123" s="203">
        <f>IF(S122&gt;S109,S122-S109,0)</f>
        <v>0</v>
      </c>
      <c r="T123" s="203"/>
      <c r="U123" s="203"/>
    </row>
    <row r="124" spans="1:21" x14ac:dyDescent="0.25">
      <c r="A124" s="11" t="s">
        <v>375</v>
      </c>
      <c r="B124" s="11"/>
      <c r="R124" s="12">
        <v>35</v>
      </c>
      <c r="S124" s="213">
        <f>IF(S109&gt;S122,S109-S122,0)</f>
        <v>0</v>
      </c>
      <c r="T124" s="213"/>
      <c r="U124" s="213"/>
    </row>
    <row r="125" spans="1:21" ht="23.25" x14ac:dyDescent="0.35">
      <c r="A125" s="209" t="s">
        <v>176</v>
      </c>
      <c r="B125" s="209"/>
      <c r="C125" s="209"/>
      <c r="D125" s="209"/>
      <c r="E125" s="209"/>
      <c r="F125" s="209"/>
      <c r="G125" s="209"/>
      <c r="H125" s="209"/>
      <c r="I125" s="209"/>
      <c r="J125" s="209"/>
      <c r="K125" s="209"/>
      <c r="L125" s="209"/>
      <c r="M125" s="209"/>
      <c r="N125" s="209"/>
      <c r="O125" s="209"/>
      <c r="P125" s="209"/>
      <c r="Q125" s="209"/>
      <c r="R125" s="209"/>
      <c r="S125" s="209"/>
      <c r="T125" s="209"/>
      <c r="U125" s="209"/>
    </row>
    <row r="126" spans="1:21" ht="63.75" customHeight="1" x14ac:dyDescent="0.25">
      <c r="A126" s="81" t="s">
        <v>249</v>
      </c>
      <c r="B126" s="81" t="s">
        <v>296</v>
      </c>
      <c r="C126" s="165" t="s">
        <v>8</v>
      </c>
      <c r="D126" s="165"/>
      <c r="E126" s="165"/>
      <c r="F126" s="165"/>
      <c r="G126" s="165"/>
      <c r="H126" s="40" t="s">
        <v>145</v>
      </c>
      <c r="I126" s="41" t="s">
        <v>146</v>
      </c>
      <c r="J126" s="41" t="s">
        <v>290</v>
      </c>
      <c r="K126" s="41" t="s">
        <v>293</v>
      </c>
      <c r="L126" s="41" t="s">
        <v>294</v>
      </c>
      <c r="M126" s="41" t="s">
        <v>295</v>
      </c>
      <c r="N126" s="42" t="s">
        <v>148</v>
      </c>
      <c r="O126" s="190" t="s">
        <v>11</v>
      </c>
      <c r="P126" s="190"/>
      <c r="Q126" s="193" t="s">
        <v>212</v>
      </c>
      <c r="R126" s="193"/>
      <c r="S126" s="157" t="s">
        <v>213</v>
      </c>
      <c r="T126" s="158"/>
      <c r="U126" s="159"/>
    </row>
    <row r="127" spans="1:21" x14ac:dyDescent="0.25">
      <c r="A127" s="52" t="str">
        <f t="shared" ref="A127:A134" si="0">A12</f>
        <v>T</v>
      </c>
      <c r="B127" s="94"/>
      <c r="C127" s="200">
        <f t="shared" ref="C127:C134" si="1">C12</f>
        <v>0</v>
      </c>
      <c r="D127" s="201"/>
      <c r="E127" s="201"/>
      <c r="F127" s="201"/>
      <c r="G127" s="202"/>
      <c r="H127" s="53">
        <f t="shared" ref="H127:M130" si="2">H12</f>
        <v>0</v>
      </c>
      <c r="I127" s="147">
        <f t="shared" si="2"/>
        <v>0</v>
      </c>
      <c r="J127" s="112">
        <f t="shared" si="2"/>
        <v>0</v>
      </c>
      <c r="K127" s="113">
        <f>SUM(K12)</f>
        <v>0</v>
      </c>
      <c r="L127" s="113">
        <f t="shared" ref="L127:M127" si="3">L12</f>
        <v>0</v>
      </c>
      <c r="M127" s="113">
        <f t="shared" si="3"/>
        <v>0</v>
      </c>
      <c r="N127" s="73">
        <v>0</v>
      </c>
      <c r="O127" s="191">
        <f t="shared" ref="O127:O130" si="4">O12</f>
        <v>0</v>
      </c>
      <c r="P127" s="192"/>
      <c r="Q127" s="168">
        <f>'state withhold'!J3</f>
        <v>0</v>
      </c>
      <c r="R127" s="169"/>
      <c r="S127" s="160">
        <f>'state withhold'!K3</f>
        <v>0</v>
      </c>
      <c r="T127" s="160"/>
      <c r="U127" s="160"/>
    </row>
    <row r="128" spans="1:21" x14ac:dyDescent="0.25">
      <c r="A128" s="52" t="str">
        <f t="shared" si="0"/>
        <v>t</v>
      </c>
      <c r="B128" s="94"/>
      <c r="C128" s="200">
        <f t="shared" si="1"/>
        <v>0</v>
      </c>
      <c r="D128" s="201"/>
      <c r="E128" s="201"/>
      <c r="F128" s="201"/>
      <c r="G128" s="202"/>
      <c r="H128" s="53">
        <f t="shared" si="2"/>
        <v>0</v>
      </c>
      <c r="I128" s="146">
        <f t="shared" si="2"/>
        <v>0</v>
      </c>
      <c r="J128" s="112">
        <f t="shared" si="2"/>
        <v>0</v>
      </c>
      <c r="K128" s="113">
        <f t="shared" si="2"/>
        <v>0</v>
      </c>
      <c r="L128" s="113">
        <f t="shared" si="2"/>
        <v>0</v>
      </c>
      <c r="M128" s="113">
        <f t="shared" si="2"/>
        <v>0</v>
      </c>
      <c r="N128" s="73">
        <v>0</v>
      </c>
      <c r="O128" s="191">
        <f t="shared" si="4"/>
        <v>0</v>
      </c>
      <c r="P128" s="192"/>
      <c r="Q128" s="168">
        <f>'state withhold'!J4</f>
        <v>0</v>
      </c>
      <c r="R128" s="169"/>
      <c r="S128" s="160">
        <f>'state withhold'!K4</f>
        <v>0</v>
      </c>
      <c r="T128" s="160"/>
      <c r="U128" s="160"/>
    </row>
    <row r="129" spans="1:21" x14ac:dyDescent="0.25">
      <c r="A129" s="53" t="str">
        <f t="shared" si="0"/>
        <v>s</v>
      </c>
      <c r="B129" s="90"/>
      <c r="C129" s="197">
        <f t="shared" si="1"/>
        <v>0</v>
      </c>
      <c r="D129" s="198"/>
      <c r="E129" s="198"/>
      <c r="F129" s="198"/>
      <c r="G129" s="199"/>
      <c r="H129" s="53">
        <f t="shared" si="2"/>
        <v>0</v>
      </c>
      <c r="I129" s="112">
        <f t="shared" si="2"/>
        <v>0</v>
      </c>
      <c r="J129" s="112">
        <f t="shared" si="2"/>
        <v>0</v>
      </c>
      <c r="K129" s="113">
        <f t="shared" si="2"/>
        <v>0</v>
      </c>
      <c r="L129" s="113">
        <f t="shared" si="2"/>
        <v>0</v>
      </c>
      <c r="M129" s="113">
        <f t="shared" si="2"/>
        <v>0</v>
      </c>
      <c r="N129" s="73">
        <v>0</v>
      </c>
      <c r="O129" s="191">
        <f t="shared" si="4"/>
        <v>0</v>
      </c>
      <c r="P129" s="192"/>
      <c r="Q129" s="168">
        <f>'state withhold'!J5</f>
        <v>0</v>
      </c>
      <c r="R129" s="169"/>
      <c r="S129" s="160">
        <f>'state withhold'!K5</f>
        <v>0</v>
      </c>
      <c r="T129" s="160"/>
      <c r="U129" s="160"/>
    </row>
    <row r="130" spans="1:21" x14ac:dyDescent="0.25">
      <c r="A130" s="53">
        <f t="shared" si="0"/>
        <v>0</v>
      </c>
      <c r="B130" s="90"/>
      <c r="C130" s="197">
        <f t="shared" si="1"/>
        <v>0</v>
      </c>
      <c r="D130" s="198"/>
      <c r="E130" s="198"/>
      <c r="F130" s="198"/>
      <c r="G130" s="199"/>
      <c r="H130" s="53">
        <f t="shared" si="2"/>
        <v>0</v>
      </c>
      <c r="I130" s="112">
        <f t="shared" si="2"/>
        <v>0</v>
      </c>
      <c r="J130" s="112">
        <f t="shared" si="2"/>
        <v>0</v>
      </c>
      <c r="K130" s="113">
        <f t="shared" si="2"/>
        <v>0</v>
      </c>
      <c r="L130" s="113">
        <f t="shared" si="2"/>
        <v>0</v>
      </c>
      <c r="M130" s="113">
        <f t="shared" si="2"/>
        <v>0</v>
      </c>
      <c r="N130" s="73">
        <v>0</v>
      </c>
      <c r="O130" s="191">
        <f t="shared" si="4"/>
        <v>0</v>
      </c>
      <c r="P130" s="192"/>
      <c r="Q130" s="168">
        <f>'state withhold'!J6</f>
        <v>0</v>
      </c>
      <c r="R130" s="169"/>
      <c r="S130" s="160">
        <f>'state withhold'!K6</f>
        <v>0</v>
      </c>
      <c r="T130" s="160"/>
      <c r="U130" s="160"/>
    </row>
    <row r="131" spans="1:21" x14ac:dyDescent="0.25">
      <c r="A131" s="53">
        <f t="shared" si="0"/>
        <v>0</v>
      </c>
      <c r="B131" s="90"/>
      <c r="C131" s="197">
        <f t="shared" si="1"/>
        <v>0</v>
      </c>
      <c r="D131" s="198"/>
      <c r="E131" s="198"/>
      <c r="F131" s="198"/>
      <c r="G131" s="199"/>
      <c r="H131" s="53">
        <f t="shared" ref="H131:O131" si="5">H16</f>
        <v>0</v>
      </c>
      <c r="I131" s="112">
        <f t="shared" si="5"/>
        <v>0</v>
      </c>
      <c r="J131" s="112">
        <f t="shared" si="5"/>
        <v>0</v>
      </c>
      <c r="K131" s="113">
        <f t="shared" si="5"/>
        <v>0</v>
      </c>
      <c r="L131" s="113">
        <f t="shared" si="5"/>
        <v>0</v>
      </c>
      <c r="M131" s="113">
        <f t="shared" si="5"/>
        <v>0</v>
      </c>
      <c r="N131" s="73">
        <v>0</v>
      </c>
      <c r="O131" s="191">
        <f t="shared" si="5"/>
        <v>0</v>
      </c>
      <c r="P131" s="192"/>
      <c r="Q131" s="168">
        <f>'state withhold'!J7</f>
        <v>0</v>
      </c>
      <c r="R131" s="169"/>
      <c r="S131" s="160">
        <f>'state withhold'!K7</f>
        <v>0</v>
      </c>
      <c r="T131" s="160"/>
      <c r="U131" s="160"/>
    </row>
    <row r="132" spans="1:21" x14ac:dyDescent="0.25">
      <c r="A132" s="53">
        <f t="shared" si="0"/>
        <v>0</v>
      </c>
      <c r="B132" s="90"/>
      <c r="C132" s="197">
        <f t="shared" si="1"/>
        <v>0</v>
      </c>
      <c r="D132" s="198"/>
      <c r="E132" s="198"/>
      <c r="F132" s="198"/>
      <c r="G132" s="199"/>
      <c r="H132" s="53">
        <f t="shared" ref="H132:O132" si="6">H17</f>
        <v>0</v>
      </c>
      <c r="I132" s="112">
        <f t="shared" si="6"/>
        <v>0</v>
      </c>
      <c r="J132" s="112">
        <f t="shared" si="6"/>
        <v>0</v>
      </c>
      <c r="K132" s="113">
        <f t="shared" si="6"/>
        <v>0</v>
      </c>
      <c r="L132" s="113">
        <f t="shared" si="6"/>
        <v>0</v>
      </c>
      <c r="M132" s="113">
        <f t="shared" si="6"/>
        <v>0</v>
      </c>
      <c r="N132" s="73">
        <v>0</v>
      </c>
      <c r="O132" s="191">
        <f t="shared" si="6"/>
        <v>0</v>
      </c>
      <c r="P132" s="192"/>
      <c r="Q132" s="168">
        <f>'state withhold'!J8</f>
        <v>0</v>
      </c>
      <c r="R132" s="169"/>
      <c r="S132" s="160">
        <f>'state withhold'!K8</f>
        <v>0</v>
      </c>
      <c r="T132" s="160"/>
      <c r="U132" s="160"/>
    </row>
    <row r="133" spans="1:21" x14ac:dyDescent="0.25">
      <c r="A133" s="53">
        <f t="shared" si="0"/>
        <v>0</v>
      </c>
      <c r="B133" s="90"/>
      <c r="C133" s="197">
        <f t="shared" si="1"/>
        <v>0</v>
      </c>
      <c r="D133" s="198"/>
      <c r="E133" s="198"/>
      <c r="F133" s="198"/>
      <c r="G133" s="199"/>
      <c r="H133" s="53">
        <f t="shared" ref="H133:O133" si="7">H18</f>
        <v>0</v>
      </c>
      <c r="I133" s="112">
        <f t="shared" si="7"/>
        <v>0</v>
      </c>
      <c r="J133" s="112">
        <f t="shared" si="7"/>
        <v>0</v>
      </c>
      <c r="K133" s="113">
        <f t="shared" si="7"/>
        <v>0</v>
      </c>
      <c r="L133" s="113">
        <f t="shared" si="7"/>
        <v>0</v>
      </c>
      <c r="M133" s="113">
        <f t="shared" si="7"/>
        <v>0</v>
      </c>
      <c r="N133" s="73">
        <v>0</v>
      </c>
      <c r="O133" s="191">
        <f t="shared" si="7"/>
        <v>0</v>
      </c>
      <c r="P133" s="192"/>
      <c r="Q133" s="168">
        <f>'state withhold'!J9</f>
        <v>0</v>
      </c>
      <c r="R133" s="169"/>
      <c r="S133" s="160">
        <f>'state withhold'!K9</f>
        <v>0</v>
      </c>
      <c r="T133" s="160"/>
      <c r="U133" s="160"/>
    </row>
    <row r="134" spans="1:21" x14ac:dyDescent="0.25">
      <c r="A134" s="53">
        <f t="shared" si="0"/>
        <v>0</v>
      </c>
      <c r="B134" s="90"/>
      <c r="C134" s="197">
        <f t="shared" si="1"/>
        <v>0</v>
      </c>
      <c r="D134" s="198"/>
      <c r="E134" s="198"/>
      <c r="F134" s="198"/>
      <c r="G134" s="199"/>
      <c r="H134" s="53">
        <f t="shared" ref="H134:O134" si="8">H19</f>
        <v>0</v>
      </c>
      <c r="I134" s="112">
        <f t="shared" si="8"/>
        <v>0</v>
      </c>
      <c r="J134" s="112">
        <f t="shared" si="8"/>
        <v>0</v>
      </c>
      <c r="K134" s="113">
        <f t="shared" si="8"/>
        <v>0</v>
      </c>
      <c r="L134" s="113">
        <f t="shared" si="8"/>
        <v>0</v>
      </c>
      <c r="M134" s="113">
        <f t="shared" si="8"/>
        <v>0</v>
      </c>
      <c r="N134" s="73">
        <v>0</v>
      </c>
      <c r="O134" s="191">
        <f t="shared" si="8"/>
        <v>0</v>
      </c>
      <c r="P134" s="192"/>
      <c r="Q134" s="168">
        <f>'state withhold'!J10</f>
        <v>0</v>
      </c>
      <c r="R134" s="169"/>
      <c r="S134" s="160">
        <f>'state withhold'!K10</f>
        <v>0</v>
      </c>
      <c r="T134" s="160"/>
      <c r="U134" s="160"/>
    </row>
    <row r="136" spans="1:21" ht="63.75" customHeight="1" x14ac:dyDescent="0.25">
      <c r="A136" s="81" t="s">
        <v>249</v>
      </c>
      <c r="B136" s="81" t="s">
        <v>296</v>
      </c>
      <c r="C136" s="165" t="s">
        <v>8</v>
      </c>
      <c r="D136" s="165"/>
      <c r="E136" s="165"/>
      <c r="F136" s="165"/>
      <c r="G136" s="165"/>
      <c r="H136" s="40" t="s">
        <v>145</v>
      </c>
      <c r="I136" s="41" t="s">
        <v>146</v>
      </c>
      <c r="J136" s="41" t="s">
        <v>290</v>
      </c>
      <c r="K136" s="41" t="s">
        <v>293</v>
      </c>
      <c r="L136" s="41" t="s">
        <v>294</v>
      </c>
      <c r="M136" s="41" t="s">
        <v>295</v>
      </c>
      <c r="N136" s="42" t="s">
        <v>148</v>
      </c>
      <c r="O136" s="190" t="s">
        <v>11</v>
      </c>
      <c r="P136" s="190"/>
      <c r="Q136" s="193" t="s">
        <v>212</v>
      </c>
      <c r="R136" s="193"/>
      <c r="S136" s="157" t="s">
        <v>213</v>
      </c>
      <c r="T136" s="158"/>
      <c r="U136" s="159"/>
    </row>
    <row r="137" spans="1:21" x14ac:dyDescent="0.25">
      <c r="A137" s="53" t="str">
        <f>A33</f>
        <v>T</v>
      </c>
      <c r="B137" s="90"/>
      <c r="C137" s="197">
        <f>C33</f>
        <v>0</v>
      </c>
      <c r="D137" s="198"/>
      <c r="E137" s="198"/>
      <c r="F137" s="198"/>
      <c r="G137" s="199"/>
      <c r="H137" s="54">
        <f t="shared" ref="H137:K138" si="9">H33</f>
        <v>0</v>
      </c>
      <c r="I137" s="112">
        <f t="shared" si="9"/>
        <v>0</v>
      </c>
      <c r="J137" s="112">
        <f t="shared" si="9"/>
        <v>0</v>
      </c>
      <c r="K137" s="148">
        <f t="shared" si="9"/>
        <v>0</v>
      </c>
      <c r="L137" s="149">
        <f>L12</f>
        <v>0</v>
      </c>
      <c r="M137" s="149">
        <f>M12</f>
        <v>0</v>
      </c>
      <c r="N137" s="73">
        <v>0</v>
      </c>
      <c r="O137" s="191">
        <f>O33</f>
        <v>0</v>
      </c>
      <c r="P137" s="192"/>
      <c r="Q137" s="168">
        <f>'state withhold'!J18</f>
        <v>0</v>
      </c>
      <c r="R137" s="169"/>
      <c r="S137" s="160">
        <f>'state withhold'!K18</f>
        <v>0</v>
      </c>
      <c r="T137" s="160"/>
      <c r="U137" s="160"/>
    </row>
    <row r="138" spans="1:21" x14ac:dyDescent="0.25">
      <c r="A138" s="53">
        <f t="shared" ref="A138:A141" si="10">A34</f>
        <v>0</v>
      </c>
      <c r="B138" s="90"/>
      <c r="C138" s="197">
        <f>C34</f>
        <v>0</v>
      </c>
      <c r="D138" s="198"/>
      <c r="E138" s="198"/>
      <c r="F138" s="198"/>
      <c r="G138" s="199"/>
      <c r="H138" s="54">
        <f t="shared" si="9"/>
        <v>0</v>
      </c>
      <c r="I138" s="112">
        <f t="shared" si="9"/>
        <v>0</v>
      </c>
      <c r="J138" s="112">
        <f t="shared" si="9"/>
        <v>0</v>
      </c>
      <c r="K138" s="148">
        <f t="shared" ref="K138" si="11">K34</f>
        <v>0</v>
      </c>
      <c r="L138" s="149">
        <f t="shared" ref="L138:M138" si="12">L13</f>
        <v>0</v>
      </c>
      <c r="M138" s="148">
        <f t="shared" si="12"/>
        <v>0</v>
      </c>
      <c r="N138" s="73">
        <v>0</v>
      </c>
      <c r="O138" s="191">
        <f>O34</f>
        <v>0</v>
      </c>
      <c r="P138" s="192"/>
      <c r="Q138" s="168">
        <f>'state withhold'!J19</f>
        <v>0</v>
      </c>
      <c r="R138" s="169"/>
      <c r="S138" s="160">
        <f>'state withhold'!K19</f>
        <v>0</v>
      </c>
      <c r="T138" s="160"/>
      <c r="U138" s="160"/>
    </row>
    <row r="139" spans="1:21" x14ac:dyDescent="0.25">
      <c r="A139" s="53">
        <f t="shared" si="10"/>
        <v>0</v>
      </c>
      <c r="B139" s="90"/>
      <c r="C139" s="197">
        <f>C35</f>
        <v>0</v>
      </c>
      <c r="D139" s="198"/>
      <c r="E139" s="198"/>
      <c r="F139" s="198"/>
      <c r="G139" s="199"/>
      <c r="H139" s="54">
        <f t="shared" ref="H139:O139" si="13">H35</f>
        <v>0</v>
      </c>
      <c r="I139" s="112">
        <f t="shared" si="13"/>
        <v>0</v>
      </c>
      <c r="J139" s="112">
        <f t="shared" si="13"/>
        <v>0</v>
      </c>
      <c r="K139" s="148">
        <f t="shared" si="13"/>
        <v>0</v>
      </c>
      <c r="L139" s="148">
        <f t="shared" ref="L139:M139" si="14">L14</f>
        <v>0</v>
      </c>
      <c r="M139" s="148">
        <f t="shared" si="14"/>
        <v>0</v>
      </c>
      <c r="N139" s="73">
        <v>0</v>
      </c>
      <c r="O139" s="191">
        <f t="shared" si="13"/>
        <v>0</v>
      </c>
      <c r="P139" s="192"/>
      <c r="Q139" s="168">
        <f>'state withhold'!J20</f>
        <v>0</v>
      </c>
      <c r="R139" s="169"/>
      <c r="S139" s="160">
        <f>'state withhold'!K20</f>
        <v>0</v>
      </c>
      <c r="T139" s="160"/>
      <c r="U139" s="160"/>
    </row>
    <row r="140" spans="1:21" x14ac:dyDescent="0.25">
      <c r="A140" s="53">
        <f t="shared" si="10"/>
        <v>0</v>
      </c>
      <c r="B140" s="90"/>
      <c r="C140" s="197">
        <f>C36</f>
        <v>0</v>
      </c>
      <c r="D140" s="198"/>
      <c r="E140" s="198"/>
      <c r="F140" s="198"/>
      <c r="G140" s="199"/>
      <c r="H140" s="54">
        <f t="shared" ref="H140:O140" si="15">H36</f>
        <v>0</v>
      </c>
      <c r="I140" s="112">
        <f t="shared" si="15"/>
        <v>0</v>
      </c>
      <c r="J140" s="112">
        <f t="shared" si="15"/>
        <v>0</v>
      </c>
      <c r="K140" s="148">
        <f t="shared" si="15"/>
        <v>0</v>
      </c>
      <c r="L140" s="148">
        <f t="shared" ref="L140:M140" si="16">L15</f>
        <v>0</v>
      </c>
      <c r="M140" s="148">
        <f t="shared" si="16"/>
        <v>0</v>
      </c>
      <c r="N140" s="73">
        <v>0</v>
      </c>
      <c r="O140" s="191">
        <f t="shared" si="15"/>
        <v>0</v>
      </c>
      <c r="P140" s="192"/>
      <c r="Q140" s="168">
        <f>'state withhold'!J21</f>
        <v>0</v>
      </c>
      <c r="R140" s="169"/>
      <c r="S140" s="160">
        <f>'state withhold'!K21</f>
        <v>0</v>
      </c>
      <c r="T140" s="160"/>
      <c r="U140" s="160"/>
    </row>
    <row r="141" spans="1:21" x14ac:dyDescent="0.25">
      <c r="A141" s="53">
        <f t="shared" si="10"/>
        <v>0</v>
      </c>
      <c r="B141" s="90"/>
      <c r="C141" s="197">
        <f>C37</f>
        <v>0</v>
      </c>
      <c r="D141" s="198"/>
      <c r="E141" s="198"/>
      <c r="F141" s="198"/>
      <c r="G141" s="199"/>
      <c r="H141" s="54">
        <f t="shared" ref="H141:O141" si="17">H37</f>
        <v>0</v>
      </c>
      <c r="I141" s="112">
        <f t="shared" si="17"/>
        <v>0</v>
      </c>
      <c r="J141" s="112">
        <f t="shared" si="17"/>
        <v>0</v>
      </c>
      <c r="K141" s="148">
        <f t="shared" si="17"/>
        <v>0</v>
      </c>
      <c r="L141" s="148">
        <f t="shared" ref="L141:M141" si="18">L16</f>
        <v>0</v>
      </c>
      <c r="M141" s="148">
        <f t="shared" si="18"/>
        <v>0</v>
      </c>
      <c r="N141" s="73">
        <v>0</v>
      </c>
      <c r="O141" s="191">
        <f t="shared" si="17"/>
        <v>0</v>
      </c>
      <c r="P141" s="192"/>
      <c r="Q141" s="168">
        <f>'state withhold'!J22</f>
        <v>0</v>
      </c>
      <c r="R141" s="169"/>
      <c r="S141" s="160">
        <f>'state withhold'!K22</f>
        <v>0</v>
      </c>
      <c r="T141" s="160"/>
      <c r="U141" s="160"/>
    </row>
    <row r="142" spans="1:21" x14ac:dyDescent="0.25">
      <c r="C142" t="s">
        <v>231</v>
      </c>
      <c r="S142" s="154">
        <f>SUM(S127:T141)</f>
        <v>0</v>
      </c>
      <c r="T142" s="154"/>
      <c r="U142" s="154"/>
    </row>
    <row r="143" spans="1:21" x14ac:dyDescent="0.25">
      <c r="A143" s="6">
        <v>4</v>
      </c>
      <c r="B143" s="6"/>
      <c r="C143" s="8" t="s">
        <v>232</v>
      </c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>
        <v>4</v>
      </c>
      <c r="S143" s="154">
        <f>S69</f>
        <v>0</v>
      </c>
      <c r="T143" s="154"/>
      <c r="U143" s="154"/>
    </row>
    <row r="144" spans="1:21" x14ac:dyDescent="0.25">
      <c r="A144" s="6">
        <v>5</v>
      </c>
      <c r="B144" s="6"/>
      <c r="C144" s="8" t="s">
        <v>233</v>
      </c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>
        <v>5</v>
      </c>
      <c r="S144" s="161">
        <v>0</v>
      </c>
      <c r="T144" s="161"/>
      <c r="U144" s="161"/>
    </row>
    <row r="145" spans="1:21" x14ac:dyDescent="0.25">
      <c r="A145" s="6">
        <v>7</v>
      </c>
      <c r="B145" s="6"/>
      <c r="C145" s="8" t="s">
        <v>234</v>
      </c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>
        <v>6</v>
      </c>
      <c r="S145" s="154">
        <f>S25</f>
        <v>0</v>
      </c>
      <c r="T145" s="154"/>
      <c r="U145" s="154"/>
    </row>
    <row r="146" spans="1:21" x14ac:dyDescent="0.25">
      <c r="A146" s="6">
        <v>8</v>
      </c>
      <c r="B146" s="6"/>
      <c r="C146" s="8" t="s">
        <v>235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>
        <v>6</v>
      </c>
      <c r="S146" s="161">
        <v>0</v>
      </c>
      <c r="T146" s="161"/>
      <c r="U146" s="161"/>
    </row>
    <row r="147" spans="1:21" x14ac:dyDescent="0.25">
      <c r="A147" s="6">
        <v>9</v>
      </c>
      <c r="B147" s="6"/>
      <c r="C147" s="8" t="s">
        <v>236</v>
      </c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>
        <v>7</v>
      </c>
      <c r="S147" s="154">
        <f>IF(S143+S144-S146-S145&gt;0,S143+S144-S146-S145,0)</f>
        <v>0</v>
      </c>
      <c r="T147" s="154"/>
      <c r="U147" s="154"/>
    </row>
    <row r="148" spans="1:21" x14ac:dyDescent="0.25">
      <c r="A148" s="6">
        <v>10</v>
      </c>
      <c r="B148" s="6"/>
      <c r="C148" s="8" t="s">
        <v>381</v>
      </c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>
        <v>8</v>
      </c>
      <c r="S148" s="154">
        <f>state!D14</f>
        <v>0</v>
      </c>
      <c r="T148" s="154"/>
      <c r="U148" s="154"/>
    </row>
    <row r="149" spans="1:21" x14ac:dyDescent="0.25">
      <c r="A149" s="6">
        <v>19</v>
      </c>
      <c r="B149" s="6"/>
      <c r="C149" s="8" t="s">
        <v>382</v>
      </c>
      <c r="R149" s="8">
        <v>19</v>
      </c>
      <c r="S149" s="154">
        <f>state!C22</f>
        <v>29758</v>
      </c>
      <c r="T149" s="154"/>
      <c r="U149" s="154"/>
    </row>
    <row r="150" spans="1:21" x14ac:dyDescent="0.25">
      <c r="A150" s="6">
        <v>20</v>
      </c>
      <c r="B150" s="6"/>
      <c r="C150" s="8" t="s">
        <v>383</v>
      </c>
      <c r="R150" s="8">
        <v>20</v>
      </c>
      <c r="S150" s="154">
        <f>state!C25</f>
        <v>1506</v>
      </c>
      <c r="T150" s="154"/>
      <c r="U150" s="154"/>
    </row>
    <row r="151" spans="1:21" x14ac:dyDescent="0.25">
      <c r="A151" s="6">
        <v>22</v>
      </c>
      <c r="B151" s="6"/>
      <c r="C151" s="8" t="s">
        <v>384</v>
      </c>
      <c r="R151" s="8">
        <v>22</v>
      </c>
      <c r="S151" s="154">
        <f>state!D26</f>
        <v>0</v>
      </c>
      <c r="T151" s="154"/>
      <c r="U151" s="154"/>
    </row>
    <row r="152" spans="1:21" x14ac:dyDescent="0.25">
      <c r="A152" s="6">
        <v>23</v>
      </c>
      <c r="B152" s="6"/>
      <c r="C152" s="8" t="s">
        <v>385</v>
      </c>
      <c r="R152" s="8">
        <v>23</v>
      </c>
      <c r="S152" s="154">
        <f>state!D31</f>
        <v>0</v>
      </c>
      <c r="T152" s="154"/>
      <c r="U152" s="154"/>
    </row>
    <row r="153" spans="1:21" x14ac:dyDescent="0.25">
      <c r="A153" s="6">
        <v>24</v>
      </c>
      <c r="B153" s="6"/>
      <c r="C153" s="8" t="s">
        <v>384</v>
      </c>
      <c r="R153" s="8">
        <v>24</v>
      </c>
      <c r="S153" s="154">
        <f>state!D32</f>
        <v>0</v>
      </c>
      <c r="T153" s="154"/>
      <c r="U153" s="154"/>
    </row>
    <row r="154" spans="1:21" x14ac:dyDescent="0.25">
      <c r="A154" s="11" t="s">
        <v>386</v>
      </c>
      <c r="B154" s="11"/>
      <c r="C154" s="8"/>
      <c r="R154" s="8">
        <v>42</v>
      </c>
      <c r="S154" s="155">
        <f>state!D34</f>
        <v>0</v>
      </c>
      <c r="T154" s="155"/>
      <c r="U154" s="155"/>
    </row>
    <row r="155" spans="1:21" x14ac:dyDescent="0.25">
      <c r="A155" s="11" t="s">
        <v>387</v>
      </c>
      <c r="B155" s="11"/>
      <c r="C155" s="8"/>
      <c r="R155" s="8">
        <v>43</v>
      </c>
      <c r="S155" s="156">
        <f>state!D35</f>
        <v>0</v>
      </c>
      <c r="T155" s="156"/>
      <c r="U155" s="156"/>
    </row>
  </sheetData>
  <sheetProtection algorithmName="SHA-512" hashValue="TmWB1f6Z0nPxf+qXx5R1chWgKqZnAbqIH2xa6w3QZWvbpfMo+vsjIIHWknnyqBjQxOpTI0zeUvpsdMMiy4tj7A==" saltValue="qY6boWHwQlLqoz+A+t8V/g==" spinCount="100000" sheet="1" selectLockedCells="1"/>
  <mergeCells count="265">
    <mergeCell ref="E7:Q7"/>
    <mergeCell ref="A9:P9"/>
    <mergeCell ref="R6:U9"/>
    <mergeCell ref="E6:Q6"/>
    <mergeCell ref="A1:U1"/>
    <mergeCell ref="E4:H4"/>
    <mergeCell ref="E5:H5"/>
    <mergeCell ref="C12:G12"/>
    <mergeCell ref="O11:P11"/>
    <mergeCell ref="O12:P12"/>
    <mergeCell ref="Q11:R11"/>
    <mergeCell ref="C11:G11"/>
    <mergeCell ref="L5:O5"/>
    <mergeCell ref="I2:K2"/>
    <mergeCell ref="A3:O3"/>
    <mergeCell ref="Q4:T4"/>
    <mergeCell ref="Q5:T5"/>
    <mergeCell ref="A2:B2"/>
    <mergeCell ref="O14:P14"/>
    <mergeCell ref="Q36:R36"/>
    <mergeCell ref="S35:U35"/>
    <mergeCell ref="S21:U21"/>
    <mergeCell ref="S22:U22"/>
    <mergeCell ref="Q33:R33"/>
    <mergeCell ref="Q32:R32"/>
    <mergeCell ref="Q19:R19"/>
    <mergeCell ref="S27:U27"/>
    <mergeCell ref="S19:U19"/>
    <mergeCell ref="S14:U14"/>
    <mergeCell ref="S15:U15"/>
    <mergeCell ref="S17:U17"/>
    <mergeCell ref="S28:U28"/>
    <mergeCell ref="S36:U36"/>
    <mergeCell ref="Q34:R34"/>
    <mergeCell ref="O18:P18"/>
    <mergeCell ref="Q15:R15"/>
    <mergeCell ref="Q14:R14"/>
    <mergeCell ref="O15:P15"/>
    <mergeCell ref="O16:P16"/>
    <mergeCell ref="O17:P17"/>
    <mergeCell ref="Q18:R18"/>
    <mergeCell ref="Q16:R16"/>
    <mergeCell ref="O32:P32"/>
    <mergeCell ref="S18:U18"/>
    <mergeCell ref="S16:U16"/>
    <mergeCell ref="C19:G19"/>
    <mergeCell ref="S124:U124"/>
    <mergeCell ref="P94:Q94"/>
    <mergeCell ref="S97:U97"/>
    <mergeCell ref="S99:U99"/>
    <mergeCell ref="S100:U100"/>
    <mergeCell ref="C36:G36"/>
    <mergeCell ref="C35:G35"/>
    <mergeCell ref="S34:U34"/>
    <mergeCell ref="S29:U29"/>
    <mergeCell ref="S30:U30"/>
    <mergeCell ref="S26:U26"/>
    <mergeCell ref="O34:P34"/>
    <mergeCell ref="O35:P35"/>
    <mergeCell ref="O33:P33"/>
    <mergeCell ref="F24:G24"/>
    <mergeCell ref="S24:U24"/>
    <mergeCell ref="C33:G33"/>
    <mergeCell ref="S23:U23"/>
    <mergeCell ref="S32:U32"/>
    <mergeCell ref="Q17:R17"/>
    <mergeCell ref="C43:I43"/>
    <mergeCell ref="C37:G37"/>
    <mergeCell ref="O37:P37"/>
    <mergeCell ref="C44:I44"/>
    <mergeCell ref="S61:U61"/>
    <mergeCell ref="I62:J62"/>
    <mergeCell ref="J74:K74"/>
    <mergeCell ref="L78:M78"/>
    <mergeCell ref="H78:I78"/>
    <mergeCell ref="I73:J73"/>
    <mergeCell ref="S66:U66"/>
    <mergeCell ref="O36:P36"/>
    <mergeCell ref="S91:U91"/>
    <mergeCell ref="S76:U76"/>
    <mergeCell ref="S82:U82"/>
    <mergeCell ref="O78:P78"/>
    <mergeCell ref="S79:U79"/>
    <mergeCell ref="S84:U84"/>
    <mergeCell ref="S90:U90"/>
    <mergeCell ref="S78:U78"/>
    <mergeCell ref="S56:U56"/>
    <mergeCell ref="S41:U41"/>
    <mergeCell ref="S54:U54"/>
    <mergeCell ref="S52:U52"/>
    <mergeCell ref="S49:U49"/>
    <mergeCell ref="S53:U53"/>
    <mergeCell ref="S45:U45"/>
    <mergeCell ref="S50:U50"/>
    <mergeCell ref="S47:U47"/>
    <mergeCell ref="S48:U48"/>
    <mergeCell ref="S46:U46"/>
    <mergeCell ref="S69:U69"/>
    <mergeCell ref="S64:U64"/>
    <mergeCell ref="S65:U65"/>
    <mergeCell ref="C132:G132"/>
    <mergeCell ref="C134:G134"/>
    <mergeCell ref="S93:U93"/>
    <mergeCell ref="C131:G131"/>
    <mergeCell ref="O131:P131"/>
    <mergeCell ref="Q131:R131"/>
    <mergeCell ref="C128:G128"/>
    <mergeCell ref="O128:P128"/>
    <mergeCell ref="Q128:R128"/>
    <mergeCell ref="C126:G126"/>
    <mergeCell ref="O126:P126"/>
    <mergeCell ref="Q126:R126"/>
    <mergeCell ref="C133:G133"/>
    <mergeCell ref="C129:G129"/>
    <mergeCell ref="C130:G130"/>
    <mergeCell ref="O133:P133"/>
    <mergeCell ref="Q133:R133"/>
    <mergeCell ref="O134:P134"/>
    <mergeCell ref="S123:U123"/>
    <mergeCell ref="S131:U131"/>
    <mergeCell ref="S132:U132"/>
    <mergeCell ref="S133:U133"/>
    <mergeCell ref="S134:U134"/>
    <mergeCell ref="C141:G141"/>
    <mergeCell ref="O141:P141"/>
    <mergeCell ref="Q141:R141"/>
    <mergeCell ref="C140:G140"/>
    <mergeCell ref="O140:P140"/>
    <mergeCell ref="Q140:R140"/>
    <mergeCell ref="S145:U145"/>
    <mergeCell ref="S146:U146"/>
    <mergeCell ref="S112:U112"/>
    <mergeCell ref="C137:G137"/>
    <mergeCell ref="O137:P137"/>
    <mergeCell ref="Q137:R137"/>
    <mergeCell ref="C139:G139"/>
    <mergeCell ref="O139:P139"/>
    <mergeCell ref="C138:G138"/>
    <mergeCell ref="O138:P138"/>
    <mergeCell ref="Q138:R138"/>
    <mergeCell ref="Q139:R139"/>
    <mergeCell ref="C136:G136"/>
    <mergeCell ref="Q130:R130"/>
    <mergeCell ref="C127:G127"/>
    <mergeCell ref="O127:P127"/>
    <mergeCell ref="S116:U116"/>
    <mergeCell ref="S117:U117"/>
    <mergeCell ref="Q134:R134"/>
    <mergeCell ref="S60:U60"/>
    <mergeCell ref="S62:U62"/>
    <mergeCell ref="S63:U63"/>
    <mergeCell ref="S86:U86"/>
    <mergeCell ref="S73:U73"/>
    <mergeCell ref="S74:U74"/>
    <mergeCell ref="S75:U75"/>
    <mergeCell ref="S105:U105"/>
    <mergeCell ref="S89:U89"/>
    <mergeCell ref="S111:U111"/>
    <mergeCell ref="S119:U119"/>
    <mergeCell ref="S120:U120"/>
    <mergeCell ref="S81:U81"/>
    <mergeCell ref="P74:Q74"/>
    <mergeCell ref="A125:U125"/>
    <mergeCell ref="S118:U118"/>
    <mergeCell ref="S40:U40"/>
    <mergeCell ref="Q37:R37"/>
    <mergeCell ref="S11:U11"/>
    <mergeCell ref="S12:U12"/>
    <mergeCell ref="S13:U13"/>
    <mergeCell ref="S43:U43"/>
    <mergeCell ref="S44:U44"/>
    <mergeCell ref="S42:U42"/>
    <mergeCell ref="S37:U37"/>
    <mergeCell ref="Q13:R13"/>
    <mergeCell ref="Q35:R35"/>
    <mergeCell ref="Q12:R12"/>
    <mergeCell ref="O136:P136"/>
    <mergeCell ref="S85:U85"/>
    <mergeCell ref="S57:U57"/>
    <mergeCell ref="S103:U103"/>
    <mergeCell ref="S115:U115"/>
    <mergeCell ref="S104:U104"/>
    <mergeCell ref="S95:U95"/>
    <mergeCell ref="S96:U96"/>
    <mergeCell ref="S109:U109"/>
    <mergeCell ref="S106:U106"/>
    <mergeCell ref="S77:U77"/>
    <mergeCell ref="O132:P132"/>
    <mergeCell ref="Q132:R132"/>
    <mergeCell ref="O129:P129"/>
    <mergeCell ref="Q129:R129"/>
    <mergeCell ref="O130:P130"/>
    <mergeCell ref="S87:U87"/>
    <mergeCell ref="S88:U88"/>
    <mergeCell ref="S108:U108"/>
    <mergeCell ref="S94:U94"/>
    <mergeCell ref="S98:U98"/>
    <mergeCell ref="S121:U121"/>
    <mergeCell ref="S122:U122"/>
    <mergeCell ref="Q136:R136"/>
    <mergeCell ref="O19:P19"/>
    <mergeCell ref="S2:U2"/>
    <mergeCell ref="S3:U3"/>
    <mergeCell ref="J48:K48"/>
    <mergeCell ref="K23:L23"/>
    <mergeCell ref="K24:L24"/>
    <mergeCell ref="G29:H29"/>
    <mergeCell ref="L29:M29"/>
    <mergeCell ref="N27:P28"/>
    <mergeCell ref="C2:H2"/>
    <mergeCell ref="L27:M27"/>
    <mergeCell ref="L28:M28"/>
    <mergeCell ref="L4:O4"/>
    <mergeCell ref="I4:K4"/>
    <mergeCell ref="I5:K5"/>
    <mergeCell ref="C13:G13"/>
    <mergeCell ref="O13:P13"/>
    <mergeCell ref="C14:G14"/>
    <mergeCell ref="C16:G16"/>
    <mergeCell ref="C15:G15"/>
    <mergeCell ref="C17:G17"/>
    <mergeCell ref="C18:G18"/>
    <mergeCell ref="S25:U25"/>
    <mergeCell ref="S33:U33"/>
    <mergeCell ref="F73:G73"/>
    <mergeCell ref="K46:N46"/>
    <mergeCell ref="C32:G32"/>
    <mergeCell ref="C34:G34"/>
    <mergeCell ref="S126:U126"/>
    <mergeCell ref="S127:U127"/>
    <mergeCell ref="S128:U128"/>
    <mergeCell ref="S129:U129"/>
    <mergeCell ref="S130:U130"/>
    <mergeCell ref="C42:N42"/>
    <mergeCell ref="S68:U68"/>
    <mergeCell ref="Q127:R127"/>
    <mergeCell ref="S67:U67"/>
    <mergeCell ref="S107:U107"/>
    <mergeCell ref="S80:U80"/>
    <mergeCell ref="S101:U101"/>
    <mergeCell ref="K45:N45"/>
    <mergeCell ref="S55:U55"/>
    <mergeCell ref="O114:P114"/>
    <mergeCell ref="S113:U113"/>
    <mergeCell ref="S114:U114"/>
    <mergeCell ref="S58:U58"/>
    <mergeCell ref="S59:U59"/>
    <mergeCell ref="S136:U136"/>
    <mergeCell ref="S137:U137"/>
    <mergeCell ref="S138:U138"/>
    <mergeCell ref="S139:U139"/>
    <mergeCell ref="S140:U140"/>
    <mergeCell ref="S141:U141"/>
    <mergeCell ref="S142:U142"/>
    <mergeCell ref="S143:U143"/>
    <mergeCell ref="S144:U144"/>
    <mergeCell ref="S147:U147"/>
    <mergeCell ref="S148:U148"/>
    <mergeCell ref="S149:U149"/>
    <mergeCell ref="S150:U150"/>
    <mergeCell ref="S151:U151"/>
    <mergeCell ref="S152:U152"/>
    <mergeCell ref="S153:U153"/>
    <mergeCell ref="S154:U154"/>
    <mergeCell ref="S155:U155"/>
  </mergeCells>
  <conditionalFormatting sqref="I2:K2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S2:U2">
    <cfRule type="cellIs" dxfId="1" priority="1" operator="greaterThan">
      <formula>0</formula>
    </cfRule>
    <cfRule type="cellIs" dxfId="0" priority="2" operator="lessThan">
      <formula>0</formula>
    </cfRule>
  </conditionalFormatting>
  <dataValidations count="6">
    <dataValidation type="list" allowBlank="1" showInputMessage="1" showErrorMessage="1" sqref="Q8" xr:uid="{00000000-0002-0000-0000-000000000000}">
      <formula1>status</formula1>
    </dataValidation>
    <dataValidation type="list" allowBlank="1" showInputMessage="1" showErrorMessage="1" sqref="Q9" xr:uid="{00000000-0002-0000-0000-000001000000}">
      <formula1>Blind</formula1>
    </dataValidation>
    <dataValidation type="list" allowBlank="1" showInputMessage="1" showErrorMessage="1" sqref="H12:H19 H33:H37" xr:uid="{00000000-0002-0000-0000-000002000000}">
      <formula1>payperiod</formula1>
    </dataValidation>
    <dataValidation type="whole" allowBlank="1" showInputMessage="1" showErrorMessage="1" prompt="Enter a number between 0 and 2_x000a_" sqref="H94" xr:uid="{00000000-0002-0000-0000-000004000000}">
      <formula1>0</formula1>
      <formula2>2</formula2>
    </dataValidation>
    <dataValidation type="whole" allowBlank="1" showInputMessage="1" showErrorMessage="1" sqref="L113" xr:uid="{00000000-0002-0000-0000-000005000000}">
      <formula1>0</formula1>
      <formula2>3</formula2>
    </dataValidation>
    <dataValidation type="whole" allowBlank="1" showInputMessage="1" showErrorMessage="1" error="Cannot be more than $600 married, $300 others_x000a_" prompt="Cannot be more than $600 married, $300 others_x000a_" sqref="S64:U64" xr:uid="{009974CA-0458-4C37-BDA7-B9242CE5D93D}">
      <formula1>0</formula1>
      <formula2>600</formula2>
    </dataValidation>
  </dataValidations>
  <pageMargins left="0.25" right="0.25" top="0.25" bottom="0.25" header="0.3" footer="0.3"/>
  <pageSetup orientation="portrait" r:id="rId1"/>
  <rowBreaks count="1" manualBreakCount="1">
    <brk id="124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3000000}">
          <x14:formula1>
            <xm:f>lists!$D$2:$D$4</xm:f>
          </x14:formula1>
          <xm:sqref>J12:J19 J33:J37</xm:sqref>
        </x14:dataValidation>
        <x14:dataValidation type="list" allowBlank="1" showInputMessage="1" showErrorMessage="1" xr:uid="{00000000-0002-0000-0000-000006000000}">
          <x14:formula1>
            <xm:f>lists!$E$2:$E$3</xm:f>
          </x14:formula1>
          <xm:sqref>A12:A19 A33:A37</xm:sqref>
        </x14:dataValidation>
        <x14:dataValidation type="list" allowBlank="1" showInputMessage="1" showErrorMessage="1" xr:uid="{A650490D-8BD3-45CE-8101-C8410E0B0FE2}">
          <x14:formula1>
            <xm:f>lists!$I$2:$I$3</xm:f>
          </x14:formula1>
          <xm:sqref>B12:B19 B33:B37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1" tint="0.14999847407452621"/>
  </sheetPr>
  <dimension ref="A1:I7"/>
  <sheetViews>
    <sheetView workbookViewId="0">
      <selection activeCell="S41" sqref="S41:U41"/>
    </sheetView>
  </sheetViews>
  <sheetFormatPr defaultRowHeight="15" x14ac:dyDescent="0.25"/>
  <cols>
    <col min="1" max="1" width="13.28515625" customWidth="1"/>
    <col min="3" max="3" width="10.42578125" bestFit="1" customWidth="1"/>
  </cols>
  <sheetData>
    <row r="1" spans="1:9" x14ac:dyDescent="0.25">
      <c r="A1" t="s">
        <v>95</v>
      </c>
      <c r="B1" t="s">
        <v>239</v>
      </c>
      <c r="C1" t="s">
        <v>240</v>
      </c>
      <c r="D1" t="s">
        <v>96</v>
      </c>
      <c r="E1" t="s">
        <v>242</v>
      </c>
      <c r="F1" t="s">
        <v>246</v>
      </c>
      <c r="G1" t="s">
        <v>247</v>
      </c>
      <c r="I1" t="s">
        <v>297</v>
      </c>
    </row>
    <row r="2" spans="1:9" x14ac:dyDescent="0.25">
      <c r="A2">
        <v>1</v>
      </c>
      <c r="B2">
        <v>0</v>
      </c>
      <c r="C2">
        <v>12</v>
      </c>
      <c r="D2" t="s">
        <v>41</v>
      </c>
      <c r="E2" t="s">
        <v>36</v>
      </c>
      <c r="F2">
        <v>1</v>
      </c>
      <c r="G2" s="30">
        <v>0</v>
      </c>
      <c r="I2" t="s">
        <v>298</v>
      </c>
    </row>
    <row r="3" spans="1:9" x14ac:dyDescent="0.25">
      <c r="A3">
        <v>2</v>
      </c>
      <c r="B3">
        <v>1</v>
      </c>
      <c r="C3">
        <v>24</v>
      </c>
      <c r="D3" t="s">
        <v>40</v>
      </c>
      <c r="E3" t="s">
        <v>40</v>
      </c>
      <c r="F3">
        <v>0</v>
      </c>
      <c r="G3" s="30">
        <v>0.15</v>
      </c>
      <c r="I3" t="s">
        <v>299</v>
      </c>
    </row>
    <row r="4" spans="1:9" x14ac:dyDescent="0.25">
      <c r="A4">
        <v>3</v>
      </c>
      <c r="B4">
        <v>2</v>
      </c>
      <c r="C4">
        <v>26</v>
      </c>
      <c r="D4" t="s">
        <v>291</v>
      </c>
      <c r="G4" s="30">
        <v>0.2</v>
      </c>
    </row>
    <row r="5" spans="1:9" x14ac:dyDescent="0.25">
      <c r="A5">
        <v>4</v>
      </c>
      <c r="B5">
        <v>3</v>
      </c>
      <c r="C5">
        <v>52</v>
      </c>
      <c r="G5" s="30"/>
    </row>
    <row r="6" spans="1:9" x14ac:dyDescent="0.25">
      <c r="A6">
        <v>5</v>
      </c>
      <c r="B6">
        <v>4</v>
      </c>
      <c r="C6">
        <v>260</v>
      </c>
      <c r="G6" s="30"/>
    </row>
    <row r="7" spans="1:9" x14ac:dyDescent="0.25">
      <c r="C7">
        <v>1</v>
      </c>
      <c r="G7" s="8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3"/>
  <sheetViews>
    <sheetView workbookViewId="0"/>
  </sheetViews>
  <sheetFormatPr defaultRowHeight="15" x14ac:dyDescent="0.25"/>
  <sheetData>
    <row r="1" spans="1:2" x14ac:dyDescent="0.25">
      <c r="A1" t="s">
        <v>242</v>
      </c>
    </row>
    <row r="2" spans="1:2" x14ac:dyDescent="0.25">
      <c r="A2" t="s">
        <v>36</v>
      </c>
      <c r="B2" t="s">
        <v>36</v>
      </c>
    </row>
    <row r="3" spans="1:2" x14ac:dyDescent="0.25">
      <c r="A3" t="s">
        <v>40</v>
      </c>
      <c r="B3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CF5FD-1BD5-43B7-BA58-5E9FE75DED77}">
  <dimension ref="A1:Z50"/>
  <sheetViews>
    <sheetView workbookViewId="0">
      <selection activeCell="S41" sqref="S41:U41"/>
    </sheetView>
  </sheetViews>
  <sheetFormatPr defaultRowHeight="15" x14ac:dyDescent="0.25"/>
  <cols>
    <col min="1" max="1" width="4.85546875" customWidth="1"/>
    <col min="2" max="2" width="4.28515625" customWidth="1"/>
    <col min="3" max="5" width="4.5703125" customWidth="1"/>
    <col min="6" max="6" width="4.85546875" customWidth="1"/>
    <col min="7" max="7" width="4.42578125" customWidth="1"/>
    <col min="8" max="8" width="6.140625" customWidth="1"/>
    <col min="9" max="9" width="4" customWidth="1"/>
    <col min="10" max="10" width="4.28515625" customWidth="1"/>
    <col min="11" max="11" width="6.28515625" customWidth="1"/>
    <col min="12" max="12" width="7.42578125" customWidth="1"/>
    <col min="13" max="13" width="5.85546875" customWidth="1"/>
    <col min="14" max="14" width="5.28515625" customWidth="1"/>
    <col min="15" max="15" width="4.85546875" customWidth="1"/>
    <col min="16" max="16" width="4.42578125" customWidth="1"/>
    <col min="17" max="17" width="5" customWidth="1"/>
    <col min="18" max="18" width="4.5703125" customWidth="1"/>
    <col min="19" max="19" width="4" customWidth="1"/>
    <col min="20" max="20" width="3.140625" customWidth="1"/>
    <col min="21" max="21" width="4" customWidth="1"/>
    <col min="22" max="22" width="1.28515625" customWidth="1"/>
  </cols>
  <sheetData>
    <row r="1" spans="1:26" ht="27.75" customHeight="1" thickBot="1" x14ac:dyDescent="0.5">
      <c r="A1" s="225" t="s">
        <v>402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</row>
    <row r="2" spans="1:26" ht="18.75" customHeight="1" thickBot="1" x14ac:dyDescent="0.5">
      <c r="A2" s="83" t="s">
        <v>280</v>
      </c>
      <c r="B2" s="83"/>
      <c r="C2" s="182" t="s">
        <v>237</v>
      </c>
      <c r="D2" s="183"/>
      <c r="E2" s="183"/>
      <c r="F2" s="183"/>
      <c r="G2" s="183"/>
      <c r="H2" s="184"/>
      <c r="I2" s="232">
        <f>IF(S44&gt;0,S44,-S45)</f>
        <v>0</v>
      </c>
      <c r="J2" s="233"/>
      <c r="K2" s="234"/>
      <c r="L2" s="105"/>
      <c r="M2" s="106" t="s">
        <v>238</v>
      </c>
      <c r="N2" s="109"/>
      <c r="O2" s="107"/>
      <c r="P2" s="107"/>
      <c r="Q2" s="107"/>
      <c r="R2" s="108"/>
      <c r="S2" s="235">
        <f>IF(S48&gt;0,-S48,S49)</f>
        <v>0</v>
      </c>
      <c r="T2" s="236"/>
      <c r="U2" s="237"/>
    </row>
    <row r="3" spans="1:26" x14ac:dyDescent="0.25">
      <c r="A3" s="229" t="s">
        <v>3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110" t="s">
        <v>211</v>
      </c>
      <c r="Q3" s="111"/>
      <c r="R3" s="111"/>
      <c r="S3" s="176"/>
      <c r="T3" s="176"/>
      <c r="U3" s="176"/>
    </row>
    <row r="4" spans="1:26" x14ac:dyDescent="0.25">
      <c r="A4" s="1" t="s">
        <v>0</v>
      </c>
      <c r="B4" s="3"/>
      <c r="C4" s="3"/>
      <c r="D4" s="246">
        <f>+'1040 W4 PLANNER 2021'!E4</f>
        <v>0</v>
      </c>
      <c r="E4" s="247"/>
      <c r="F4" s="247"/>
      <c r="G4" s="247"/>
      <c r="H4" s="247"/>
      <c r="I4" s="188" t="s">
        <v>2</v>
      </c>
      <c r="J4" s="188"/>
      <c r="K4" s="188"/>
      <c r="L4" s="238">
        <f>'1040 W4 PLANNER 2021'!L4:O4</f>
        <v>0</v>
      </c>
      <c r="M4" s="238"/>
      <c r="N4" s="238"/>
      <c r="O4" s="238"/>
      <c r="P4" s="2">
        <f>'1040 W4 PLANNER 2021'!P4</f>
        <v>0</v>
      </c>
      <c r="Q4" s="231" t="s">
        <v>266</v>
      </c>
      <c r="R4" s="231"/>
      <c r="S4" s="231"/>
      <c r="T4" s="231"/>
      <c r="U4" s="114">
        <f>'1040 W4 PLANNER 2021'!U4</f>
        <v>0</v>
      </c>
    </row>
    <row r="5" spans="1:26" x14ac:dyDescent="0.25">
      <c r="A5" s="1" t="s">
        <v>1</v>
      </c>
      <c r="B5" s="3"/>
      <c r="C5" s="3"/>
      <c r="D5" s="248">
        <f>'1040 W4 PLANNER 2021'!E5</f>
        <v>0</v>
      </c>
      <c r="E5" s="248"/>
      <c r="F5" s="248"/>
      <c r="G5" s="248"/>
      <c r="H5" s="248"/>
      <c r="I5" s="188" t="s">
        <v>2</v>
      </c>
      <c r="J5" s="188"/>
      <c r="K5" s="188"/>
      <c r="L5" s="248">
        <f>'1040 W4 PLANNER 2021'!L5</f>
        <v>0</v>
      </c>
      <c r="M5" s="248"/>
      <c r="N5" s="248"/>
      <c r="O5" s="248"/>
      <c r="P5" s="2">
        <f>'1040 W4 PLANNER 2021'!P5</f>
        <v>0</v>
      </c>
      <c r="Q5" s="231" t="s">
        <v>267</v>
      </c>
      <c r="R5" s="231"/>
      <c r="S5" s="231"/>
      <c r="T5" s="231"/>
      <c r="U5" s="114">
        <f>'1040 W4 PLANNER 2021'!U5</f>
        <v>0</v>
      </c>
      <c r="Z5" s="5"/>
    </row>
    <row r="6" spans="1:26" x14ac:dyDescent="0.25">
      <c r="A6" s="1" t="s">
        <v>6</v>
      </c>
      <c r="B6" s="3"/>
      <c r="C6" s="3"/>
      <c r="D6" s="3"/>
      <c r="E6" s="3"/>
      <c r="F6" s="3"/>
      <c r="G6" s="3"/>
      <c r="H6" s="3"/>
      <c r="I6" s="3"/>
      <c r="J6" s="4"/>
      <c r="K6" s="4"/>
      <c r="L6" s="4"/>
      <c r="M6" s="4"/>
      <c r="N6" s="4"/>
      <c r="O6" s="4"/>
      <c r="P6" s="4"/>
      <c r="Q6" s="114">
        <f>'1040 W4 PLANNER 2021'!Q8</f>
        <v>2</v>
      </c>
      <c r="R6" s="218"/>
      <c r="S6" s="219"/>
      <c r="T6" s="219"/>
      <c r="U6" s="220"/>
    </row>
    <row r="7" spans="1:26" x14ac:dyDescent="0.25">
      <c r="A7" s="215" t="s">
        <v>21</v>
      </c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7"/>
      <c r="Q7" s="114">
        <f>'1040 W4 PLANNER 2021'!Q9</f>
        <v>0</v>
      </c>
      <c r="R7" s="221"/>
      <c r="S7" s="222"/>
      <c r="T7" s="222"/>
      <c r="U7" s="223"/>
    </row>
    <row r="8" spans="1:26" ht="5.25" customHeight="1" x14ac:dyDescent="0.25"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6" ht="51" customHeight="1" x14ac:dyDescent="0.25">
      <c r="A9" s="81" t="s">
        <v>249</v>
      </c>
      <c r="B9" s="81" t="s">
        <v>296</v>
      </c>
      <c r="C9" s="165" t="s">
        <v>8</v>
      </c>
      <c r="D9" s="165"/>
      <c r="E9" s="165"/>
      <c r="F9" s="165"/>
      <c r="G9" s="165"/>
      <c r="H9" s="40" t="s">
        <v>145</v>
      </c>
      <c r="I9" s="41" t="s">
        <v>146</v>
      </c>
      <c r="J9" s="41" t="s">
        <v>290</v>
      </c>
      <c r="K9" s="41" t="s">
        <v>293</v>
      </c>
      <c r="L9" s="41" t="s">
        <v>294</v>
      </c>
      <c r="M9" s="41" t="s">
        <v>295</v>
      </c>
      <c r="N9" s="42" t="s">
        <v>148</v>
      </c>
      <c r="O9" s="190" t="s">
        <v>11</v>
      </c>
      <c r="P9" s="190"/>
      <c r="Q9" s="193" t="s">
        <v>14</v>
      </c>
      <c r="R9" s="193"/>
      <c r="S9" s="194" t="s">
        <v>15</v>
      </c>
      <c r="T9" s="195"/>
      <c r="U9" s="196"/>
    </row>
    <row r="10" spans="1:26" x14ac:dyDescent="0.25">
      <c r="A10" s="112" t="str">
        <f>'1040 W4 PLANNER 2021'!A12</f>
        <v>T</v>
      </c>
      <c r="B10" s="112" t="str">
        <f>'1040 W4 PLANNER 2021'!B12</f>
        <v>Y</v>
      </c>
      <c r="C10" s="239">
        <f>'1040 W4 PLANNER 2021'!C12</f>
        <v>0</v>
      </c>
      <c r="D10" s="240"/>
      <c r="E10" s="240"/>
      <c r="F10" s="240"/>
      <c r="G10" s="241"/>
      <c r="H10" s="112">
        <f>'1040 W4 PLANNER 2021'!H12</f>
        <v>0</v>
      </c>
      <c r="I10" s="112">
        <f>'1040 W4 PLANNER 2021'!I12</f>
        <v>0</v>
      </c>
      <c r="J10" s="112">
        <f>'1040 W4 PLANNER 2021'!J12</f>
        <v>0</v>
      </c>
      <c r="K10" s="112">
        <f>'1040 W4 PLANNER 2021'!K12</f>
        <v>0</v>
      </c>
      <c r="L10" s="112">
        <f>'1040 W4 PLANNER 2021'!L12</f>
        <v>0</v>
      </c>
      <c r="M10" s="112">
        <f>'1040 W4 PLANNER 2021'!M12</f>
        <v>0</v>
      </c>
      <c r="N10" s="112">
        <f>'1040 W4 PLANNER 2021'!N12</f>
        <v>0</v>
      </c>
      <c r="O10" s="242">
        <f>'1040 W4 PLANNER 2021'!O12</f>
        <v>0</v>
      </c>
      <c r="P10" s="243"/>
      <c r="Q10" s="168">
        <f>'1040 W4 PLANNER 2021'!Q12</f>
        <v>0</v>
      </c>
      <c r="R10" s="169"/>
      <c r="S10" s="168">
        <f>'1040 W4 PLANNER 2021'!S12</f>
        <v>0</v>
      </c>
      <c r="T10" s="189"/>
      <c r="U10" s="169"/>
      <c r="X10" t="s">
        <v>24</v>
      </c>
    </row>
    <row r="11" spans="1:26" x14ac:dyDescent="0.25">
      <c r="A11" s="112" t="str">
        <f>'1040 W4 PLANNER 2021'!A13</f>
        <v>t</v>
      </c>
      <c r="B11" s="112" t="str">
        <f>'1040 W4 PLANNER 2021'!B13</f>
        <v>Y</v>
      </c>
      <c r="C11" s="244">
        <f>'1040 W4 PLANNER 2021'!C13:G13</f>
        <v>0</v>
      </c>
      <c r="D11" s="240"/>
      <c r="E11" s="240"/>
      <c r="F11" s="240"/>
      <c r="G11" s="241"/>
      <c r="H11" s="112">
        <f>'1040 W4 PLANNER 2021'!H13</f>
        <v>0</v>
      </c>
      <c r="I11" s="112">
        <f>'1040 W4 PLANNER 2021'!I13</f>
        <v>0</v>
      </c>
      <c r="J11" s="112">
        <f>'1040 W4 PLANNER 2021'!J13</f>
        <v>0</v>
      </c>
      <c r="K11" s="112">
        <f>'1040 W4 PLANNER 2021'!K13</f>
        <v>0</v>
      </c>
      <c r="L11" s="112">
        <f>'1040 W4 PLANNER 2021'!L13</f>
        <v>0</v>
      </c>
      <c r="M11" s="112">
        <f>'1040 W4 PLANNER 2021'!M13</f>
        <v>0</v>
      </c>
      <c r="N11" s="112">
        <f>'1040 W4 PLANNER 2021'!N13</f>
        <v>0</v>
      </c>
      <c r="O11" s="242">
        <f>'1040 W4 PLANNER 2021'!O13</f>
        <v>0</v>
      </c>
      <c r="P11" s="243"/>
      <c r="Q11" s="168">
        <f>'1040 W4 PLANNER 2021'!Q13</f>
        <v>0</v>
      </c>
      <c r="R11" s="169"/>
      <c r="S11" s="168">
        <f>'1040 W4 PLANNER 2021'!S13</f>
        <v>0</v>
      </c>
      <c r="T11" s="189"/>
      <c r="U11" s="169"/>
    </row>
    <row r="12" spans="1:26" x14ac:dyDescent="0.25">
      <c r="A12" s="112" t="str">
        <f>'1040 W4 PLANNER 2021'!A14</f>
        <v>s</v>
      </c>
      <c r="B12" s="112" t="str">
        <f>'1040 W4 PLANNER 2021'!B14</f>
        <v>Y</v>
      </c>
      <c r="C12" s="244">
        <f>'1040 W4 PLANNER 2021'!C14:G14</f>
        <v>0</v>
      </c>
      <c r="D12" s="240"/>
      <c r="E12" s="240"/>
      <c r="F12" s="240"/>
      <c r="G12" s="241"/>
      <c r="H12" s="112">
        <f>'1040 W4 PLANNER 2021'!H14</f>
        <v>0</v>
      </c>
      <c r="I12" s="112">
        <f>'1040 W4 PLANNER 2021'!I14</f>
        <v>0</v>
      </c>
      <c r="J12" s="112">
        <f>'1040 W4 PLANNER 2021'!J14</f>
        <v>0</v>
      </c>
      <c r="K12" s="112">
        <f>'1040 W4 PLANNER 2021'!K14</f>
        <v>0</v>
      </c>
      <c r="L12" s="112">
        <f>'1040 W4 PLANNER 2021'!L14</f>
        <v>0</v>
      </c>
      <c r="M12" s="112">
        <f>'1040 W4 PLANNER 2021'!M14</f>
        <v>0</v>
      </c>
      <c r="N12" s="112">
        <f>'1040 W4 PLANNER 2021'!N14</f>
        <v>0</v>
      </c>
      <c r="O12" s="242">
        <f>'1040 W4 PLANNER 2021'!O14</f>
        <v>0</v>
      </c>
      <c r="P12" s="243"/>
      <c r="Q12" s="168">
        <f>'1040 W4 PLANNER 2021'!Q14</f>
        <v>0</v>
      </c>
      <c r="R12" s="169"/>
      <c r="S12" s="168">
        <f>'1040 W4 PLANNER 2021'!S14</f>
        <v>0</v>
      </c>
      <c r="T12" s="189"/>
      <c r="U12" s="169"/>
    </row>
    <row r="13" spans="1:26" x14ac:dyDescent="0.25">
      <c r="A13" s="112">
        <f>'1040 W4 PLANNER 2021'!A15</f>
        <v>0</v>
      </c>
      <c r="B13" s="112" t="str">
        <f>'1040 W4 PLANNER 2021'!B15</f>
        <v>Y</v>
      </c>
      <c r="C13" s="244">
        <f>'1040 W4 PLANNER 2021'!C15:G15</f>
        <v>0</v>
      </c>
      <c r="D13" s="240"/>
      <c r="E13" s="240"/>
      <c r="F13" s="240"/>
      <c r="G13" s="241"/>
      <c r="H13" s="112">
        <f>'1040 W4 PLANNER 2021'!H15</f>
        <v>0</v>
      </c>
      <c r="I13" s="112">
        <f>'1040 W4 PLANNER 2021'!I15</f>
        <v>0</v>
      </c>
      <c r="J13" s="112">
        <f>'1040 W4 PLANNER 2021'!J15</f>
        <v>0</v>
      </c>
      <c r="K13" s="112">
        <f>'1040 W4 PLANNER 2021'!K15</f>
        <v>0</v>
      </c>
      <c r="L13" s="112">
        <f>'1040 W4 PLANNER 2021'!L15</f>
        <v>0</v>
      </c>
      <c r="M13" s="112">
        <f>'1040 W4 PLANNER 2021'!M15</f>
        <v>0</v>
      </c>
      <c r="N13" s="112">
        <f>'1040 W4 PLANNER 2021'!N15</f>
        <v>0</v>
      </c>
      <c r="O13" s="242">
        <f>'1040 W4 PLANNER 2021'!O15</f>
        <v>0</v>
      </c>
      <c r="P13" s="243"/>
      <c r="Q13" s="168">
        <f>'1040 W4 PLANNER 2021'!Q15</f>
        <v>0</v>
      </c>
      <c r="R13" s="169"/>
      <c r="S13" s="168">
        <f>'1040 W4 PLANNER 2021'!S15</f>
        <v>0</v>
      </c>
      <c r="T13" s="189"/>
      <c r="U13" s="169"/>
    </row>
    <row r="14" spans="1:26" x14ac:dyDescent="0.25">
      <c r="A14" s="8">
        <v>7</v>
      </c>
      <c r="B14" s="8"/>
      <c r="C14" t="s">
        <v>336</v>
      </c>
      <c r="R14" s="8">
        <v>7</v>
      </c>
      <c r="S14" s="160">
        <f>'1040 W4 PLANNER 2021'!S21:U21</f>
        <v>0</v>
      </c>
      <c r="T14" s="160"/>
      <c r="U14" s="160"/>
    </row>
    <row r="15" spans="1:26" x14ac:dyDescent="0.25">
      <c r="A15" s="8">
        <v>7</v>
      </c>
      <c r="B15" s="8"/>
      <c r="C15" t="s">
        <v>337</v>
      </c>
      <c r="R15" s="8">
        <v>7</v>
      </c>
      <c r="S15" s="160">
        <f>'1040 W4 PLANNER 2021'!S22:U22</f>
        <v>0</v>
      </c>
      <c r="T15" s="160"/>
      <c r="U15" s="160"/>
    </row>
    <row r="16" spans="1:26" x14ac:dyDescent="0.25">
      <c r="A16" s="8">
        <v>8</v>
      </c>
      <c r="B16" s="8"/>
      <c r="C16" t="s">
        <v>216</v>
      </c>
      <c r="H16" t="s">
        <v>51</v>
      </c>
      <c r="K16" s="245">
        <f>'1040 W4 PLANNER 2021'!K23:L23</f>
        <v>0</v>
      </c>
      <c r="L16" s="245"/>
      <c r="M16" s="8" t="s">
        <v>377</v>
      </c>
      <c r="R16" s="8">
        <v>8</v>
      </c>
      <c r="S16" s="245">
        <f>'1040 W4 PLANNER 2021'!S23:U23</f>
        <v>0</v>
      </c>
      <c r="T16" s="245"/>
      <c r="U16" s="245"/>
    </row>
    <row r="17" spans="1:21" ht="16.5" customHeight="1" x14ac:dyDescent="0.25">
      <c r="A17" s="8">
        <v>9</v>
      </c>
      <c r="B17" s="8"/>
      <c r="C17" t="s">
        <v>18</v>
      </c>
      <c r="F17" s="245">
        <f>'1040 W4 PLANNER 2021'!F24:G24</f>
        <v>0</v>
      </c>
      <c r="G17" s="245"/>
      <c r="H17" t="s">
        <v>103</v>
      </c>
      <c r="K17" s="245">
        <f>'1040 W4 PLANNER 2021'!K24:L24</f>
        <v>0</v>
      </c>
      <c r="L17" s="245"/>
      <c r="M17" t="s">
        <v>376</v>
      </c>
      <c r="R17" s="8">
        <v>9</v>
      </c>
      <c r="S17" s="160">
        <f>'1040 W4 PLANNER 2021'!S24:U24</f>
        <v>0</v>
      </c>
      <c r="T17" s="160"/>
      <c r="U17" s="160"/>
    </row>
    <row r="18" spans="1:21" x14ac:dyDescent="0.25">
      <c r="A18" s="8" t="s">
        <v>17</v>
      </c>
      <c r="B18" s="8"/>
      <c r="C18" t="s">
        <v>379</v>
      </c>
      <c r="R18" s="8"/>
      <c r="S18" s="160">
        <f>'1040 W4 PLANNER 2021'!S40:U40</f>
        <v>0</v>
      </c>
      <c r="T18" s="160"/>
      <c r="U18" s="160"/>
    </row>
    <row r="19" spans="1:21" x14ac:dyDescent="0.25">
      <c r="A19" s="8" t="s">
        <v>17</v>
      </c>
      <c r="B19" s="8"/>
      <c r="C19" t="s">
        <v>378</v>
      </c>
      <c r="R19" s="8"/>
      <c r="S19" s="160">
        <f>'1040 W4 PLANNER 2021'!S41:U41</f>
        <v>0</v>
      </c>
      <c r="T19" s="160"/>
      <c r="U19" s="160"/>
    </row>
    <row r="20" spans="1:21" x14ac:dyDescent="0.25">
      <c r="A20" s="8">
        <v>20</v>
      </c>
      <c r="B20" s="8"/>
      <c r="C20" t="s">
        <v>20</v>
      </c>
      <c r="J20" s="245">
        <f>'1040 W4 PLANNER 2021'!J48:K48</f>
        <v>0</v>
      </c>
      <c r="K20" s="245"/>
      <c r="M20" t="s">
        <v>332</v>
      </c>
      <c r="R20" s="8">
        <v>20</v>
      </c>
      <c r="S20" s="160">
        <f>'1040 W4 PLANNER 2021'!S48:U48</f>
        <v>0</v>
      </c>
      <c r="T20" s="160"/>
      <c r="U20" s="160"/>
    </row>
    <row r="21" spans="1:21" x14ac:dyDescent="0.25">
      <c r="A21" s="8">
        <v>22</v>
      </c>
      <c r="B21" s="8"/>
      <c r="C21" t="s">
        <v>316</v>
      </c>
      <c r="R21" s="8">
        <v>22</v>
      </c>
      <c r="S21" s="160">
        <f>'1040 W4 PLANNER 2021'!S50:U50</f>
        <v>0</v>
      </c>
      <c r="T21" s="160"/>
      <c r="U21" s="160"/>
    </row>
    <row r="22" spans="1:21" x14ac:dyDescent="0.25">
      <c r="A22" s="12" t="s">
        <v>28</v>
      </c>
      <c r="B22" s="12"/>
      <c r="R22" s="8"/>
      <c r="S22" s="8"/>
      <c r="T22" s="8"/>
      <c r="U22" s="8"/>
    </row>
    <row r="23" spans="1:21" x14ac:dyDescent="0.25">
      <c r="A23" s="8">
        <v>36</v>
      </c>
      <c r="B23" s="8"/>
      <c r="C23" t="s">
        <v>389</v>
      </c>
      <c r="R23" s="8">
        <v>36</v>
      </c>
      <c r="S23" s="168">
        <f>'1040 W4 PLANNER 2021'!S65:U65+'1040 W4 PLANNER 2021'!S67:U67+'1040 W4 PLANNER 2021'!S68:U68</f>
        <v>0</v>
      </c>
      <c r="T23" s="189"/>
      <c r="U23" s="169"/>
    </row>
    <row r="24" spans="1:21" x14ac:dyDescent="0.25">
      <c r="A24" s="8" t="s">
        <v>22</v>
      </c>
      <c r="B24" s="8"/>
      <c r="C24" t="s">
        <v>330</v>
      </c>
      <c r="R24" s="8">
        <v>37</v>
      </c>
      <c r="S24" s="204">
        <f>'1040 W4 PLANNER 2021'!S69:U69</f>
        <v>0</v>
      </c>
      <c r="T24" s="205"/>
      <c r="U24" s="206"/>
    </row>
    <row r="25" spans="1:21" x14ac:dyDescent="0.25">
      <c r="A25" s="11" t="s">
        <v>26</v>
      </c>
      <c r="B25" s="11"/>
    </row>
    <row r="26" spans="1:21" x14ac:dyDescent="0.25">
      <c r="A26" s="11" t="s">
        <v>29</v>
      </c>
      <c r="B26" s="11"/>
    </row>
    <row r="27" spans="1:21" ht="3" customHeight="1" x14ac:dyDescent="0.25">
      <c r="A27" s="15"/>
      <c r="B27" s="15"/>
      <c r="C27" s="16"/>
      <c r="D27" s="16"/>
      <c r="E27" s="16"/>
      <c r="F27" s="16"/>
      <c r="G27" s="16"/>
      <c r="H27" s="16"/>
      <c r="I27" s="16"/>
      <c r="J27" s="17"/>
      <c r="K27" s="17"/>
      <c r="L27" s="17"/>
      <c r="M27" s="17"/>
      <c r="N27" s="17"/>
      <c r="O27" s="16"/>
      <c r="P27" s="16"/>
      <c r="Q27" s="16"/>
      <c r="R27" s="16"/>
      <c r="S27" s="18"/>
      <c r="T27" s="18"/>
      <c r="U27" s="18"/>
    </row>
    <row r="28" spans="1:21" x14ac:dyDescent="0.25">
      <c r="A28" s="11" t="s">
        <v>35</v>
      </c>
      <c r="B28" s="11"/>
    </row>
    <row r="29" spans="1:21" x14ac:dyDescent="0.25">
      <c r="A29" t="s">
        <v>229</v>
      </c>
      <c r="C29" t="s">
        <v>346</v>
      </c>
      <c r="J29" s="6"/>
      <c r="K29" s="6"/>
      <c r="L29" s="6"/>
      <c r="M29" s="6"/>
      <c r="N29" s="6"/>
      <c r="R29" t="s">
        <v>229</v>
      </c>
      <c r="S29" s="168">
        <f>'1040 W4 PLANNER 2021'!S82:U82</f>
        <v>0</v>
      </c>
      <c r="T29" s="189"/>
      <c r="U29" s="169"/>
    </row>
    <row r="30" spans="1:21" ht="3" customHeight="1" x14ac:dyDescent="0.25">
      <c r="A30" s="15"/>
      <c r="B30" s="15"/>
      <c r="C30" s="16"/>
      <c r="D30" s="16"/>
      <c r="E30" s="16"/>
      <c r="F30" s="16"/>
      <c r="G30" s="16"/>
      <c r="H30" s="16"/>
      <c r="I30" s="16"/>
      <c r="J30" s="17"/>
      <c r="K30" s="17"/>
      <c r="L30" s="17"/>
      <c r="M30" s="17"/>
      <c r="N30" s="17"/>
      <c r="O30" s="16"/>
      <c r="P30" s="16"/>
      <c r="Q30" s="16"/>
      <c r="R30" s="16"/>
      <c r="S30" s="18"/>
      <c r="T30" s="18"/>
      <c r="U30" s="18"/>
    </row>
    <row r="31" spans="1:21" x14ac:dyDescent="0.25">
      <c r="A31" s="8">
        <v>40</v>
      </c>
      <c r="B31" s="8"/>
      <c r="C31" t="s">
        <v>347</v>
      </c>
      <c r="R31" s="8">
        <v>40</v>
      </c>
      <c r="S31" s="168">
        <f>'1040 W4 PLANNER 2021'!S84:U84</f>
        <v>25100</v>
      </c>
      <c r="T31" s="189"/>
      <c r="U31" s="169"/>
    </row>
    <row r="32" spans="1:21" x14ac:dyDescent="0.25">
      <c r="A32" s="8">
        <v>40</v>
      </c>
      <c r="B32" s="8"/>
      <c r="C32" t="s">
        <v>348</v>
      </c>
      <c r="R32" s="8">
        <v>40</v>
      </c>
      <c r="S32" s="168">
        <f>'1040 W4 PLANNER 2021'!S85:U85</f>
        <v>25100</v>
      </c>
      <c r="T32" s="189"/>
      <c r="U32" s="169"/>
    </row>
    <row r="33" spans="1:21" x14ac:dyDescent="0.25">
      <c r="A33" s="8">
        <v>43</v>
      </c>
      <c r="B33" s="8"/>
      <c r="C33" t="s">
        <v>350</v>
      </c>
      <c r="R33" s="8">
        <v>43</v>
      </c>
      <c r="S33" s="160">
        <f>'1040 W4 PLANNER 2021'!S87:U87</f>
        <v>-25100</v>
      </c>
      <c r="T33" s="160"/>
      <c r="U33" s="160"/>
    </row>
    <row r="34" spans="1:21" x14ac:dyDescent="0.25">
      <c r="A34" s="8">
        <v>47</v>
      </c>
      <c r="B34" s="8"/>
      <c r="C34" t="s">
        <v>351</v>
      </c>
      <c r="R34" s="8">
        <v>47</v>
      </c>
      <c r="S34" s="160">
        <f>'1040 W4 PLANNER 2021'!S91:U91</f>
        <v>0</v>
      </c>
      <c r="T34" s="160"/>
      <c r="U34" s="160"/>
    </row>
    <row r="35" spans="1:21" x14ac:dyDescent="0.25">
      <c r="A35" s="12" t="s">
        <v>106</v>
      </c>
      <c r="B35" s="12"/>
      <c r="R35" s="8"/>
      <c r="S35" s="32"/>
      <c r="T35" s="32"/>
      <c r="U35" s="32"/>
    </row>
    <row r="36" spans="1:21" x14ac:dyDescent="0.25">
      <c r="A36" s="8">
        <v>55</v>
      </c>
      <c r="B36" s="8"/>
      <c r="C36" t="s">
        <v>361</v>
      </c>
      <c r="R36" s="8">
        <v>55</v>
      </c>
      <c r="S36" s="160">
        <f>'1040 W4 PLANNER 2021'!S100:U100</f>
        <v>0</v>
      </c>
      <c r="T36" s="160"/>
      <c r="U36" s="160"/>
    </row>
    <row r="37" spans="1:21" x14ac:dyDescent="0.25">
      <c r="A37" s="8">
        <v>56</v>
      </c>
      <c r="B37" s="8"/>
      <c r="C37" t="s">
        <v>362</v>
      </c>
      <c r="R37" s="8">
        <v>56</v>
      </c>
      <c r="S37" s="160">
        <f>'1040 W4 PLANNER 2021'!S101:U101</f>
        <v>0</v>
      </c>
      <c r="T37" s="160"/>
      <c r="U37" s="160"/>
    </row>
    <row r="38" spans="1:21" x14ac:dyDescent="0.25">
      <c r="A38" s="8">
        <v>63</v>
      </c>
      <c r="B38" s="8"/>
      <c r="C38" t="s">
        <v>366</v>
      </c>
      <c r="R38" s="8">
        <v>63</v>
      </c>
      <c r="S38" s="160">
        <f>'1040 W4 PLANNER 2021'!S109:U109</f>
        <v>0</v>
      </c>
      <c r="T38" s="160"/>
      <c r="U38" s="160"/>
    </row>
    <row r="39" spans="1:21" x14ac:dyDescent="0.25">
      <c r="A39" s="11" t="s">
        <v>31</v>
      </c>
      <c r="B39" s="11"/>
    </row>
    <row r="40" spans="1:21" x14ac:dyDescent="0.25">
      <c r="A40" s="8">
        <v>64</v>
      </c>
      <c r="B40" s="8"/>
      <c r="C40" t="s">
        <v>367</v>
      </c>
      <c r="R40" s="8">
        <v>64</v>
      </c>
      <c r="S40" s="160">
        <f>'1040 W4 PLANNER 2021'!S111:U111</f>
        <v>0</v>
      </c>
      <c r="T40" s="160"/>
      <c r="U40" s="160"/>
    </row>
    <row r="41" spans="1:21" x14ac:dyDescent="0.25">
      <c r="A41" s="8">
        <v>65</v>
      </c>
      <c r="B41" s="8"/>
      <c r="C41" t="s">
        <v>368</v>
      </c>
      <c r="R41" s="8">
        <v>65</v>
      </c>
      <c r="S41" s="245">
        <f>'1040 W4 PLANNER 2021'!S112:U112</f>
        <v>0</v>
      </c>
      <c r="T41" s="245"/>
      <c r="U41" s="245"/>
    </row>
    <row r="42" spans="1:21" x14ac:dyDescent="0.25">
      <c r="A42" s="8" t="s">
        <v>248</v>
      </c>
      <c r="B42" s="8"/>
      <c r="C42" t="s">
        <v>32</v>
      </c>
      <c r="L42" s="112">
        <f>'1040 W4 PLANNER 2021'!L113</f>
        <v>0</v>
      </c>
      <c r="R42" s="8" t="s">
        <v>248</v>
      </c>
      <c r="S42" s="160">
        <f>'1040 W4 PLANNER 2021'!S113:U113</f>
        <v>0</v>
      </c>
      <c r="T42" s="160"/>
      <c r="U42" s="160"/>
    </row>
    <row r="43" spans="1:21" x14ac:dyDescent="0.25">
      <c r="A43" s="8">
        <v>74</v>
      </c>
      <c r="B43" s="8"/>
      <c r="C43" t="s">
        <v>373</v>
      </c>
      <c r="R43" s="8">
        <v>74</v>
      </c>
      <c r="S43" s="160">
        <f>'1040 W4 PLANNER 2021'!S122:U122</f>
        <v>0</v>
      </c>
      <c r="T43" s="160"/>
      <c r="U43" s="160"/>
    </row>
    <row r="44" spans="1:21" x14ac:dyDescent="0.25">
      <c r="A44" s="11" t="s">
        <v>374</v>
      </c>
      <c r="B44" s="11"/>
      <c r="R44" s="12">
        <v>75</v>
      </c>
      <c r="S44" s="203">
        <f>'1040 W4 PLANNER 2021'!S123:U123</f>
        <v>0</v>
      </c>
      <c r="T44" s="203"/>
      <c r="U44" s="203"/>
    </row>
    <row r="45" spans="1:21" x14ac:dyDescent="0.25">
      <c r="A45" s="11" t="s">
        <v>375</v>
      </c>
      <c r="B45" s="11"/>
      <c r="R45" s="12">
        <v>78</v>
      </c>
      <c r="S45" s="213">
        <f>'1040 W4 PLANNER 2021'!S124:U124</f>
        <v>0</v>
      </c>
      <c r="T45" s="213"/>
      <c r="U45" s="213"/>
    </row>
    <row r="46" spans="1:21" ht="18.75" customHeight="1" x14ac:dyDescent="0.35">
      <c r="A46" s="209" t="s">
        <v>176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</row>
    <row r="47" spans="1:21" x14ac:dyDescent="0.25">
      <c r="A47" s="6">
        <v>24</v>
      </c>
      <c r="B47" s="6"/>
      <c r="C47" s="8" t="s">
        <v>384</v>
      </c>
      <c r="R47" s="8">
        <v>24</v>
      </c>
      <c r="S47" s="154">
        <f>'1040 W4 PLANNER 2021'!S153:U153</f>
        <v>0</v>
      </c>
      <c r="T47" s="154"/>
      <c r="U47" s="154"/>
    </row>
    <row r="48" spans="1:21" x14ac:dyDescent="0.25">
      <c r="A48" s="11" t="s">
        <v>386</v>
      </c>
      <c r="B48" s="11"/>
      <c r="C48" s="8"/>
      <c r="R48" s="8">
        <v>42</v>
      </c>
      <c r="S48" s="155">
        <f>'1040 W4 PLANNER 2021'!S154:U154</f>
        <v>0</v>
      </c>
      <c r="T48" s="155"/>
      <c r="U48" s="155"/>
    </row>
    <row r="49" spans="1:21" x14ac:dyDescent="0.25">
      <c r="A49" s="11" t="s">
        <v>387</v>
      </c>
      <c r="B49" s="11"/>
      <c r="C49" s="8"/>
      <c r="R49" s="8">
        <v>43</v>
      </c>
      <c r="S49" s="156">
        <f>'1040 W4 PLANNER 2021'!S155:U155</f>
        <v>0</v>
      </c>
      <c r="T49" s="156"/>
      <c r="U49" s="156"/>
    </row>
    <row r="50" spans="1:21" ht="7.5" customHeight="1" x14ac:dyDescent="0.25"/>
  </sheetData>
  <sheetProtection algorithmName="SHA-512" hashValue="8frLqdC1I5s2/DFXxsLYQzF4DxgqBHV6rdbKTmEzS/e+NLM+ShZdIrPmLIduShFhZITG+Hb8Q9JRNO/h+P4MYw==" saltValue="jTv7mMPaACl7z1Jvurgtpg==" spinCount="100000" sheet="1" selectLockedCells="1"/>
  <mergeCells count="68">
    <mergeCell ref="S48:U48"/>
    <mergeCell ref="S49:U49"/>
    <mergeCell ref="D4:H4"/>
    <mergeCell ref="D5:H5"/>
    <mergeCell ref="L5:O5"/>
    <mergeCell ref="S47:U47"/>
    <mergeCell ref="S44:U44"/>
    <mergeCell ref="S45:U45"/>
    <mergeCell ref="A46:U46"/>
    <mergeCell ref="S43:U43"/>
    <mergeCell ref="S40:U40"/>
    <mergeCell ref="S41:U41"/>
    <mergeCell ref="S42:U42"/>
    <mergeCell ref="S38:U38"/>
    <mergeCell ref="S36:U36"/>
    <mergeCell ref="S37:U37"/>
    <mergeCell ref="S33:U33"/>
    <mergeCell ref="S34:U34"/>
    <mergeCell ref="S29:U29"/>
    <mergeCell ref="S31:U31"/>
    <mergeCell ref="S32:U32"/>
    <mergeCell ref="S23:U23"/>
    <mergeCell ref="S24:U24"/>
    <mergeCell ref="S21:U21"/>
    <mergeCell ref="J20:K20"/>
    <mergeCell ref="S20:U20"/>
    <mergeCell ref="S18:U18"/>
    <mergeCell ref="S19:U19"/>
    <mergeCell ref="S14:U14"/>
    <mergeCell ref="S15:U15"/>
    <mergeCell ref="K16:L16"/>
    <mergeCell ref="S16:U16"/>
    <mergeCell ref="F17:G17"/>
    <mergeCell ref="K17:L17"/>
    <mergeCell ref="S17:U17"/>
    <mergeCell ref="C12:G12"/>
    <mergeCell ref="O12:P12"/>
    <mergeCell ref="Q12:R12"/>
    <mergeCell ref="S12:U12"/>
    <mergeCell ref="C13:G13"/>
    <mergeCell ref="O13:P13"/>
    <mergeCell ref="Q13:R13"/>
    <mergeCell ref="S13:U13"/>
    <mergeCell ref="C10:G10"/>
    <mergeCell ref="O10:P10"/>
    <mergeCell ref="Q10:R10"/>
    <mergeCell ref="S10:U10"/>
    <mergeCell ref="C11:G11"/>
    <mergeCell ref="O11:P11"/>
    <mergeCell ref="Q11:R11"/>
    <mergeCell ref="S11:U11"/>
    <mergeCell ref="R6:U7"/>
    <mergeCell ref="A7:P7"/>
    <mergeCell ref="C9:G9"/>
    <mergeCell ref="O9:P9"/>
    <mergeCell ref="Q9:R9"/>
    <mergeCell ref="S9:U9"/>
    <mergeCell ref="I4:K4"/>
    <mergeCell ref="L4:O4"/>
    <mergeCell ref="Q4:T4"/>
    <mergeCell ref="I5:K5"/>
    <mergeCell ref="Q5:T5"/>
    <mergeCell ref="A1:U1"/>
    <mergeCell ref="C2:H2"/>
    <mergeCell ref="I2:K2"/>
    <mergeCell ref="S2:U2"/>
    <mergeCell ref="A3:O3"/>
    <mergeCell ref="S3:U3"/>
  </mergeCells>
  <dataValidations disablePrompts="1" count="4">
    <dataValidation type="whole" allowBlank="1" showInputMessage="1" showErrorMessage="1" sqref="L42" xr:uid="{F1B72798-A5D5-4423-BF77-B1EBA044CF7C}">
      <formula1>0</formula1>
      <formula2>3</formula2>
    </dataValidation>
    <dataValidation type="list" allowBlank="1" showInputMessage="1" showErrorMessage="1" sqref="H10:N13" xr:uid="{5711158E-3D95-4EF1-AF8E-F54DCA3F0023}">
      <formula1>payperiod</formula1>
    </dataValidation>
    <dataValidation type="list" allowBlank="1" showInputMessage="1" showErrorMessage="1" sqref="Q7" xr:uid="{5B63C7B3-5110-4370-8F7B-EE7BB841F4AF}">
      <formula1>Blind</formula1>
    </dataValidation>
    <dataValidation type="list" allowBlank="1" showInputMessage="1" showErrorMessage="1" sqref="Q6" xr:uid="{BAE205BD-8C61-4F35-BBCE-A5F4D1FBD450}">
      <formula1>status</formula1>
    </dataValidation>
  </dataValidations>
  <pageMargins left="0.25" right="0.25" top="0.25" bottom="0.25" header="0.3" footer="0.05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A4E332E4-469C-4BEF-BEA1-8A540C41F5CB}">
          <x14:formula1>
            <xm:f>lists!$I$2:$I$3</xm:f>
          </x14:formula1>
          <xm:sqref>B10:B13</xm:sqref>
        </x14:dataValidation>
        <x14:dataValidation type="list" allowBlank="1" showInputMessage="1" showErrorMessage="1" xr:uid="{550FF0FC-2872-4988-AAE7-1AB95D478463}">
          <x14:formula1>
            <xm:f>lists!$E$2:$E$3</xm:f>
          </x14:formula1>
          <xm:sqref>A10:A13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6B06A-F46E-414C-BC5A-0DEAE5A5701A}">
  <dimension ref="A1:AD39"/>
  <sheetViews>
    <sheetView workbookViewId="0">
      <selection activeCell="B18" sqref="B18"/>
    </sheetView>
  </sheetViews>
  <sheetFormatPr defaultRowHeight="15" x14ac:dyDescent="0.25"/>
  <cols>
    <col min="1" max="1" width="22.140625" bestFit="1" customWidth="1"/>
    <col min="2" max="2" width="16.42578125" bestFit="1" customWidth="1"/>
    <col min="5" max="5" width="10.85546875" customWidth="1"/>
    <col min="6" max="6" width="11.5703125" bestFit="1" customWidth="1"/>
    <col min="11" max="26" width="5.7109375" customWidth="1"/>
    <col min="28" max="28" width="11.7109375" customWidth="1"/>
    <col min="29" max="29" width="7.140625" customWidth="1"/>
    <col min="30" max="30" width="1.7109375" customWidth="1"/>
  </cols>
  <sheetData>
    <row r="1" spans="1:30" x14ac:dyDescent="0.25">
      <c r="A1" s="119" t="s">
        <v>256</v>
      </c>
      <c r="B1" s="120"/>
      <c r="C1" s="120"/>
      <c r="D1" s="120"/>
      <c r="E1" s="120"/>
      <c r="F1" s="120"/>
      <c r="G1" s="120"/>
      <c r="H1" s="121"/>
    </row>
    <row r="2" spans="1:30" x14ac:dyDescent="0.25">
      <c r="A2" s="122" t="s">
        <v>95</v>
      </c>
      <c r="B2" s="111">
        <f>'1040 W4 PLANNER 2021'!Q8</f>
        <v>2</v>
      </c>
      <c r="C2" s="111"/>
      <c r="D2" s="111"/>
      <c r="E2" s="111"/>
      <c r="F2" s="111"/>
      <c r="G2" s="111"/>
      <c r="H2" s="123"/>
    </row>
    <row r="3" spans="1:30" x14ac:dyDescent="0.25">
      <c r="A3" s="124" t="s">
        <v>390</v>
      </c>
      <c r="B3" s="111"/>
      <c r="C3" s="111"/>
      <c r="D3" s="111"/>
      <c r="E3" s="111"/>
      <c r="F3" s="111"/>
      <c r="G3" s="111"/>
      <c r="H3" s="123"/>
      <c r="J3" s="8">
        <v>22</v>
      </c>
      <c r="K3" s="8"/>
      <c r="L3" t="s">
        <v>316</v>
      </c>
      <c r="AA3" s="8">
        <v>22</v>
      </c>
      <c r="AB3" s="140">
        <f>'1040 W4 PLANNER 2021'!S50</f>
        <v>0</v>
      </c>
      <c r="AC3" s="140"/>
      <c r="AD3" s="140"/>
    </row>
    <row r="4" spans="1:30" x14ac:dyDescent="0.25">
      <c r="A4" s="122" t="s">
        <v>391</v>
      </c>
      <c r="B4" s="111" t="s">
        <v>271</v>
      </c>
      <c r="C4" s="111"/>
      <c r="D4" s="111"/>
      <c r="E4" s="111"/>
      <c r="F4" s="111"/>
      <c r="G4" s="111"/>
      <c r="H4" s="123"/>
      <c r="J4" s="12" t="s">
        <v>28</v>
      </c>
      <c r="K4" s="12"/>
      <c r="AA4" s="8"/>
      <c r="AB4" s="8"/>
      <c r="AC4" s="8"/>
      <c r="AD4" s="8"/>
    </row>
    <row r="5" spans="1:30" x14ac:dyDescent="0.25">
      <c r="A5" s="125">
        <f>IF(B2=2,329800,164925)</f>
        <v>329800</v>
      </c>
      <c r="B5" s="126">
        <f>IF(B2=2,329800,164925)</f>
        <v>329800</v>
      </c>
      <c r="C5" s="111" t="s">
        <v>257</v>
      </c>
      <c r="D5" s="111"/>
      <c r="E5" s="111" t="s">
        <v>397</v>
      </c>
      <c r="F5" s="111"/>
      <c r="G5" s="111"/>
      <c r="H5" s="123"/>
      <c r="J5" s="8">
        <v>23</v>
      </c>
      <c r="K5" s="8"/>
      <c r="L5" t="s">
        <v>317</v>
      </c>
      <c r="AA5" s="8">
        <v>23</v>
      </c>
      <c r="AB5" s="115">
        <f>'1040 W4 PLANNER 2021'!S52</f>
        <v>0</v>
      </c>
      <c r="AC5" s="115"/>
      <c r="AD5" s="115"/>
    </row>
    <row r="6" spans="1:30" x14ac:dyDescent="0.25">
      <c r="A6" s="125">
        <f>IF(A3=2,100000,50000)</f>
        <v>50000</v>
      </c>
      <c r="B6" s="126">
        <v>100000</v>
      </c>
      <c r="C6" s="111" t="s">
        <v>124</v>
      </c>
      <c r="D6" s="111"/>
      <c r="E6" s="111" t="s">
        <v>114</v>
      </c>
      <c r="F6" s="125">
        <f>AB3</f>
        <v>0</v>
      </c>
      <c r="G6" s="111"/>
      <c r="H6" s="123"/>
      <c r="J6" s="8">
        <v>24</v>
      </c>
      <c r="K6" s="8"/>
      <c r="L6" t="s">
        <v>318</v>
      </c>
      <c r="AA6" s="8">
        <v>24</v>
      </c>
      <c r="AB6" s="115">
        <f>'1040 W4 PLANNER 2021'!S53</f>
        <v>0</v>
      </c>
      <c r="AC6" s="115"/>
      <c r="AD6" s="115"/>
    </row>
    <row r="7" spans="1:30" x14ac:dyDescent="0.25">
      <c r="A7" s="127">
        <f>F7</f>
        <v>0</v>
      </c>
      <c r="B7" s="128">
        <f>F7</f>
        <v>0</v>
      </c>
      <c r="C7" s="111"/>
      <c r="D7" s="111"/>
      <c r="E7" s="111" t="s">
        <v>398</v>
      </c>
      <c r="F7" s="130">
        <f>AB19</f>
        <v>0</v>
      </c>
      <c r="G7" s="111"/>
      <c r="H7" s="123"/>
      <c r="J7" s="8">
        <v>25</v>
      </c>
      <c r="K7" s="8"/>
      <c r="L7" t="s">
        <v>319</v>
      </c>
      <c r="AA7" s="8">
        <v>25</v>
      </c>
      <c r="AB7" s="115">
        <f>'1040 W4 PLANNER 2021'!S54</f>
        <v>0</v>
      </c>
      <c r="AC7" s="115"/>
      <c r="AD7" s="115"/>
    </row>
    <row r="8" spans="1:30" x14ac:dyDescent="0.25">
      <c r="A8" s="129">
        <f>A7-A5</f>
        <v>-329800</v>
      </c>
      <c r="B8" s="130">
        <f>A8</f>
        <v>-329800</v>
      </c>
      <c r="C8" s="111"/>
      <c r="D8" s="111"/>
      <c r="E8" s="111" t="s">
        <v>394</v>
      </c>
      <c r="F8" s="130">
        <f>AB20</f>
        <v>0</v>
      </c>
      <c r="G8" s="111"/>
      <c r="H8" s="123"/>
      <c r="J8" s="8">
        <v>26</v>
      </c>
      <c r="K8" s="8"/>
      <c r="L8" t="s">
        <v>219</v>
      </c>
      <c r="AA8" s="8">
        <v>26</v>
      </c>
      <c r="AB8" s="115">
        <f>'1040 W4 PLANNER 2021'!S55</f>
        <v>0</v>
      </c>
      <c r="AC8" s="115"/>
      <c r="AD8" s="115"/>
    </row>
    <row r="9" spans="1:30" x14ac:dyDescent="0.25">
      <c r="A9" s="131">
        <f>A8/A6</f>
        <v>-6.5960000000000001</v>
      </c>
      <c r="B9" s="132">
        <f t="shared" ref="B9:B10" si="0">A9</f>
        <v>-6.5960000000000001</v>
      </c>
      <c r="C9" s="111"/>
      <c r="D9" s="111"/>
      <c r="E9" s="145" t="s">
        <v>395</v>
      </c>
      <c r="F9" s="130">
        <f>AB37</f>
        <v>25100</v>
      </c>
      <c r="G9" s="111"/>
      <c r="H9" s="123"/>
      <c r="J9" s="8">
        <v>27</v>
      </c>
      <c r="K9" s="8"/>
      <c r="L9" t="s">
        <v>320</v>
      </c>
      <c r="AA9" s="8">
        <v>27</v>
      </c>
      <c r="AB9" s="115">
        <f>'1040 W4 PLANNER 2021'!S56</f>
        <v>0</v>
      </c>
      <c r="AC9" s="115"/>
      <c r="AD9" s="115"/>
    </row>
    <row r="10" spans="1:30" x14ac:dyDescent="0.25">
      <c r="A10" s="131">
        <f>1-A9</f>
        <v>7.5960000000000001</v>
      </c>
      <c r="B10" s="132">
        <f t="shared" si="0"/>
        <v>7.5960000000000001</v>
      </c>
      <c r="C10" s="111"/>
      <c r="D10" s="111"/>
      <c r="E10" s="145" t="s">
        <v>93</v>
      </c>
      <c r="F10" s="130">
        <f>AB39</f>
        <v>0</v>
      </c>
      <c r="G10" s="111"/>
      <c r="H10" s="123"/>
      <c r="J10" s="8">
        <v>28</v>
      </c>
      <c r="K10" s="8"/>
      <c r="L10" t="s">
        <v>321</v>
      </c>
      <c r="AA10" s="8">
        <v>28</v>
      </c>
      <c r="AB10" s="115">
        <f>'1040 W4 PLANNER 2021'!S57</f>
        <v>0</v>
      </c>
      <c r="AC10" s="115"/>
      <c r="AD10" s="115"/>
    </row>
    <row r="11" spans="1:30" x14ac:dyDescent="0.25">
      <c r="A11" s="127">
        <f>A24*A10</f>
        <v>0</v>
      </c>
      <c r="B11" s="128">
        <f>B24*B10</f>
        <v>0</v>
      </c>
      <c r="C11" s="111"/>
      <c r="D11" s="111"/>
      <c r="F11" s="128">
        <f>IF(F10&lt;B5,B31,0)</f>
        <v>0</v>
      </c>
      <c r="G11" s="111"/>
      <c r="H11" s="123"/>
      <c r="J11" s="8">
        <v>29</v>
      </c>
      <c r="K11" s="8"/>
      <c r="L11" t="s">
        <v>322</v>
      </c>
      <c r="AA11" s="8">
        <v>29</v>
      </c>
      <c r="AB11" s="115">
        <f>'1040 W4 PLANNER 2021'!S58</f>
        <v>0</v>
      </c>
      <c r="AC11" s="115"/>
      <c r="AD11" s="115"/>
    </row>
    <row r="12" spans="1:30" x14ac:dyDescent="0.25">
      <c r="A12" s="122"/>
      <c r="B12" s="111"/>
      <c r="C12" s="111"/>
      <c r="D12" s="111"/>
      <c r="E12" s="111" t="s">
        <v>24</v>
      </c>
      <c r="F12" s="128" t="s">
        <v>24</v>
      </c>
      <c r="G12" s="111"/>
      <c r="H12" s="123"/>
      <c r="J12" s="8">
        <v>30</v>
      </c>
      <c r="K12" s="8"/>
      <c r="L12" t="s">
        <v>323</v>
      </c>
      <c r="AA12" s="8">
        <v>30</v>
      </c>
      <c r="AB12" s="115">
        <f>'1040 W4 PLANNER 2021'!S59</f>
        <v>0</v>
      </c>
      <c r="AC12" s="115"/>
      <c r="AD12" s="115"/>
    </row>
    <row r="13" spans="1:30" x14ac:dyDescent="0.25">
      <c r="A13" s="122"/>
      <c r="B13" s="111"/>
      <c r="C13" s="111"/>
      <c r="D13" s="111"/>
      <c r="E13" s="111"/>
      <c r="F13" s="111"/>
      <c r="G13" s="111"/>
      <c r="H13" s="123"/>
      <c r="J13" s="8">
        <v>31</v>
      </c>
      <c r="K13" s="8"/>
      <c r="L13" t="s">
        <v>324</v>
      </c>
      <c r="AA13" s="8">
        <v>31</v>
      </c>
      <c r="AB13" s="115">
        <f>'1040 W4 PLANNER 2021'!S60</f>
        <v>0</v>
      </c>
      <c r="AC13" s="115"/>
      <c r="AD13" s="115"/>
    </row>
    <row r="14" spans="1:30" x14ac:dyDescent="0.25">
      <c r="A14" s="122"/>
      <c r="B14" s="111"/>
      <c r="C14" s="111"/>
      <c r="D14" s="111"/>
      <c r="E14" s="111"/>
      <c r="F14" s="111"/>
      <c r="G14" s="111"/>
      <c r="H14" s="123"/>
      <c r="J14" s="8">
        <v>32</v>
      </c>
      <c r="K14" s="8"/>
      <c r="L14" t="s">
        <v>325</v>
      </c>
      <c r="AA14" s="8">
        <v>32</v>
      </c>
      <c r="AB14" s="115">
        <f>'1040 W4 PLANNER 2021'!S61</f>
        <v>0</v>
      </c>
      <c r="AC14" s="115"/>
      <c r="AD14" s="115"/>
    </row>
    <row r="15" spans="1:30" x14ac:dyDescent="0.25">
      <c r="A15" s="122"/>
      <c r="B15" s="111"/>
      <c r="C15" s="111"/>
      <c r="D15" s="111"/>
      <c r="E15" s="111"/>
      <c r="F15" s="111"/>
      <c r="G15" s="111"/>
      <c r="H15" s="123"/>
      <c r="J15" s="8">
        <v>33</v>
      </c>
      <c r="K15" s="8"/>
      <c r="L15" t="s">
        <v>326</v>
      </c>
      <c r="R15" s="164">
        <v>200</v>
      </c>
      <c r="S15" s="164"/>
      <c r="T15" s="8" t="s">
        <v>327</v>
      </c>
      <c r="U15" s="8"/>
      <c r="V15" s="8"/>
      <c r="W15" s="8"/>
      <c r="X15" s="8"/>
      <c r="Y15" s="8"/>
      <c r="AA15" s="8">
        <v>33</v>
      </c>
      <c r="AB15" s="115">
        <f>'1040 W4 PLANNER 2021'!S62</f>
        <v>0</v>
      </c>
      <c r="AC15" s="115"/>
      <c r="AD15" s="115"/>
    </row>
    <row r="16" spans="1:30" x14ac:dyDescent="0.25">
      <c r="A16" s="122"/>
      <c r="B16" s="111"/>
      <c r="C16" s="111"/>
      <c r="D16" s="111"/>
      <c r="E16" s="111"/>
      <c r="F16" s="111"/>
      <c r="G16" s="111"/>
      <c r="H16" s="123"/>
      <c r="J16" s="8">
        <v>34</v>
      </c>
      <c r="K16" s="8"/>
      <c r="L16" t="s">
        <v>328</v>
      </c>
      <c r="AA16" s="8">
        <v>34</v>
      </c>
      <c r="AB16" s="115">
        <f>'1040 W4 PLANNER 2021'!S63</f>
        <v>0</v>
      </c>
      <c r="AC16" s="115"/>
      <c r="AD16" s="115"/>
    </row>
    <row r="17" spans="1:30" x14ac:dyDescent="0.25">
      <c r="A17" s="125">
        <f>IF('1040 W4 PLANNER 2021'!Q27="X",'1040 W4 PLANNER 2021'!S27,0)</f>
        <v>0</v>
      </c>
      <c r="B17" s="126">
        <f>IF('1040 W4 PLANNER 2021'!S27&lt;&gt;"X",'1040 W4 PLANNER 2021'!S27,0)</f>
        <v>0</v>
      </c>
      <c r="C17" s="111" t="s">
        <v>259</v>
      </c>
      <c r="D17" s="111"/>
      <c r="E17" s="111"/>
      <c r="F17" s="111"/>
      <c r="G17" s="111"/>
      <c r="H17" s="123"/>
      <c r="J17" s="8">
        <v>35</v>
      </c>
      <c r="K17" s="8"/>
      <c r="L17" t="s">
        <v>393</v>
      </c>
      <c r="AA17" s="8">
        <v>35</v>
      </c>
      <c r="AB17" s="140">
        <v>0</v>
      </c>
      <c r="AC17" s="140"/>
      <c r="AD17" s="140"/>
    </row>
    <row r="18" spans="1:30" x14ac:dyDescent="0.25">
      <c r="A18" s="125">
        <f>IF('1040 W4 PLANNER 2021'!Q27="X",'1040 W4 PLANNER 2021'!S27,0)</f>
        <v>0</v>
      </c>
      <c r="B18" s="126">
        <f>IF('1040 W4 PLANNER 2021'!S28&lt;&gt;"X",'1040 W4 PLANNER 2021'!S28,0)</f>
        <v>0</v>
      </c>
      <c r="C18" s="111" t="s">
        <v>260</v>
      </c>
      <c r="D18" s="111" t="s">
        <v>258</v>
      </c>
      <c r="E18" s="111"/>
      <c r="F18" s="111"/>
      <c r="G18" s="111"/>
      <c r="H18" s="123"/>
      <c r="J18" s="8">
        <v>35</v>
      </c>
      <c r="K18" s="8"/>
      <c r="L18" t="s">
        <v>392</v>
      </c>
      <c r="V18" s="249"/>
      <c r="W18" s="249"/>
      <c r="X18" s="249"/>
      <c r="Y18" s="249"/>
      <c r="Z18" s="249"/>
      <c r="AA18" s="8">
        <v>35</v>
      </c>
      <c r="AB18" s="144">
        <v>0</v>
      </c>
      <c r="AC18" s="144"/>
      <c r="AD18" s="144"/>
    </row>
    <row r="19" spans="1:30" x14ac:dyDescent="0.25">
      <c r="A19" s="125">
        <f>IF('1040 W4 PLANNER 2021'!Q41="X",'1040 W4 PLANNER 2021'!S41,0)</f>
        <v>0</v>
      </c>
      <c r="B19" s="126">
        <f>IF('1040 W4 PLANNER 2021'!Q41&lt;&gt;"X",'1040 W4 PLANNER 2021'!S41,0)</f>
        <v>0</v>
      </c>
      <c r="C19" s="111"/>
      <c r="D19" s="111"/>
      <c r="E19" s="111"/>
      <c r="F19" s="111"/>
      <c r="G19" s="111"/>
      <c r="H19" s="123"/>
      <c r="J19" s="8">
        <v>36</v>
      </c>
      <c r="K19" s="8"/>
      <c r="L19" t="s">
        <v>329</v>
      </c>
      <c r="AA19" s="8">
        <v>36</v>
      </c>
      <c r="AB19" s="140">
        <f>SUM(AB5:AB18)</f>
        <v>0</v>
      </c>
      <c r="AC19" s="140"/>
      <c r="AD19" s="140"/>
    </row>
    <row r="20" spans="1:30" x14ac:dyDescent="0.25">
      <c r="A20" s="125">
        <f>IF('1040 W4 PLANNER 2021'!Q42="X",'1040 W4 PLANNER 2021'!S42,0)</f>
        <v>0</v>
      </c>
      <c r="B20" s="126">
        <f>IF('1040 W4 PLANNER 2021'!Q42&lt;&gt;"X",'1040 W4 PLANNER 2021'!S42,0)</f>
        <v>0</v>
      </c>
      <c r="C20" s="111" t="s">
        <v>261</v>
      </c>
      <c r="D20" s="111"/>
      <c r="E20" s="111"/>
      <c r="F20" s="111"/>
      <c r="G20" s="111"/>
      <c r="H20" s="123"/>
      <c r="J20" s="8" t="s">
        <v>22</v>
      </c>
      <c r="K20" s="8"/>
      <c r="L20" t="s">
        <v>330</v>
      </c>
      <c r="AA20" s="8">
        <v>37</v>
      </c>
      <c r="AB20" s="141">
        <f>AB3-AB19</f>
        <v>0</v>
      </c>
      <c r="AC20" s="142"/>
      <c r="AD20" s="143"/>
    </row>
    <row r="21" spans="1:30" x14ac:dyDescent="0.25">
      <c r="A21" s="125">
        <f>IF('1040 W4 PLANNER 2021'!Q43="X",'1040 W4 PLANNER 2021'!S43,0)</f>
        <v>0</v>
      </c>
      <c r="B21" s="126">
        <f>IF('1040 W4 PLANNER 2021'!Q43&lt;&gt;"X",'1040 W4 PLANNER 2021'!S43,0)</f>
        <v>0</v>
      </c>
      <c r="C21" s="111" t="s">
        <v>262</v>
      </c>
      <c r="D21" s="111"/>
      <c r="E21" s="111"/>
      <c r="F21" s="111"/>
      <c r="G21" s="111"/>
      <c r="H21" s="123"/>
      <c r="J21" s="11" t="s">
        <v>26</v>
      </c>
      <c r="K21" s="11"/>
    </row>
    <row r="22" spans="1:30" x14ac:dyDescent="0.25">
      <c r="A22" s="122"/>
      <c r="B22" s="126">
        <f>'1040 W4 PLANNER 2021'!S44</f>
        <v>0</v>
      </c>
      <c r="C22" s="111" t="s">
        <v>272</v>
      </c>
      <c r="D22" s="111"/>
      <c r="E22" s="111"/>
      <c r="F22" s="111"/>
      <c r="G22" s="111"/>
      <c r="H22" s="123"/>
      <c r="J22" s="11" t="s">
        <v>29</v>
      </c>
      <c r="K22" s="11"/>
    </row>
    <row r="23" spans="1:30" x14ac:dyDescent="0.25">
      <c r="A23" s="122"/>
      <c r="B23" s="126">
        <f>'1040 W4 PLANNER 2021'!S45</f>
        <v>0</v>
      </c>
      <c r="C23" s="111" t="s">
        <v>273</v>
      </c>
      <c r="D23" s="111"/>
      <c r="E23" s="111"/>
      <c r="F23" s="111"/>
      <c r="G23" s="111"/>
      <c r="H23" s="123"/>
      <c r="J23" s="15"/>
      <c r="K23" s="15"/>
      <c r="L23" s="16"/>
      <c r="M23" s="16"/>
      <c r="N23" s="16"/>
      <c r="O23" s="16"/>
      <c r="P23" s="16"/>
      <c r="Q23" s="16"/>
      <c r="R23" s="16"/>
      <c r="S23" s="17"/>
      <c r="T23" s="17"/>
      <c r="U23" s="17"/>
      <c r="V23" s="17"/>
      <c r="W23" s="17"/>
      <c r="X23" s="16"/>
      <c r="Y23" s="16"/>
      <c r="Z23" s="16"/>
      <c r="AA23" s="16"/>
      <c r="AB23" s="18"/>
      <c r="AC23" s="18"/>
      <c r="AD23" s="18"/>
    </row>
    <row r="24" spans="1:30" x14ac:dyDescent="0.25">
      <c r="A24" s="125">
        <f>SUM(A17:A21)</f>
        <v>0</v>
      </c>
      <c r="B24" s="126">
        <f>SUM(B17:B23)</f>
        <v>0</v>
      </c>
      <c r="C24" s="111" t="s">
        <v>263</v>
      </c>
      <c r="D24" s="111"/>
      <c r="E24" s="111"/>
      <c r="F24" s="111"/>
      <c r="G24" s="111"/>
      <c r="H24" s="123"/>
      <c r="J24" s="11" t="s">
        <v>35</v>
      </c>
      <c r="K24" s="11"/>
    </row>
    <row r="25" spans="1:30" x14ac:dyDescent="0.25">
      <c r="A25" s="125">
        <f>IF(A24&gt;0,A24*0.2,0)</f>
        <v>0</v>
      </c>
      <c r="B25" s="126">
        <f>IF(B24&gt;0,B24*0.2,0)</f>
        <v>0</v>
      </c>
      <c r="C25" s="111" t="s">
        <v>264</v>
      </c>
      <c r="D25" s="111"/>
      <c r="E25" s="111"/>
      <c r="F25" s="111"/>
      <c r="G25" s="111"/>
      <c r="H25" s="123"/>
      <c r="J25" t="s">
        <v>221</v>
      </c>
      <c r="L25" t="s">
        <v>83</v>
      </c>
      <c r="O25" s="162">
        <f>'1040 W4 PLANNER 2021'!F73</f>
        <v>0</v>
      </c>
      <c r="P25" s="163"/>
      <c r="Q25" s="79" t="s">
        <v>315</v>
      </c>
      <c r="R25" s="211">
        <f>AB20*0.075</f>
        <v>0</v>
      </c>
      <c r="S25" s="212"/>
      <c r="T25" t="s">
        <v>331</v>
      </c>
      <c r="AA25" t="s">
        <v>222</v>
      </c>
      <c r="AB25" s="168">
        <f>IF(O25&gt;R25,O25-R25,0)</f>
        <v>0</v>
      </c>
      <c r="AC25" s="189"/>
      <c r="AD25" s="169"/>
    </row>
    <row r="26" spans="1:30" x14ac:dyDescent="0.25">
      <c r="B26" s="126"/>
      <c r="C26" s="111" t="s">
        <v>265</v>
      </c>
      <c r="D26" s="111"/>
      <c r="E26" s="111"/>
      <c r="F26" s="111"/>
      <c r="G26" s="111"/>
      <c r="H26" s="123"/>
      <c r="J26" t="s">
        <v>223</v>
      </c>
      <c r="L26" t="s">
        <v>74</v>
      </c>
      <c r="P26" t="s">
        <v>200</v>
      </c>
      <c r="S26" s="154">
        <f>'1040 W4 PLANNER 2021'!J74</f>
        <v>0</v>
      </c>
      <c r="T26" s="154"/>
      <c r="V26" t="s">
        <v>380</v>
      </c>
      <c r="Y26" s="207">
        <v>100</v>
      </c>
      <c r="Z26" s="208"/>
      <c r="AA26" t="s">
        <v>223</v>
      </c>
      <c r="AB26" s="168">
        <f>Y26+S26</f>
        <v>100</v>
      </c>
      <c r="AC26" s="189"/>
      <c r="AD26" s="169"/>
    </row>
    <row r="27" spans="1:30" x14ac:dyDescent="0.25">
      <c r="A27" s="125">
        <f>IF(F5&gt;A5,F5-A5,0)</f>
        <v>0</v>
      </c>
      <c r="B27" s="111"/>
      <c r="C27" s="111" t="s">
        <v>274</v>
      </c>
      <c r="D27" s="111"/>
      <c r="E27" s="111"/>
      <c r="F27" s="111"/>
      <c r="G27" s="111"/>
      <c r="H27" s="123"/>
      <c r="J27" t="s">
        <v>224</v>
      </c>
      <c r="L27" t="s">
        <v>341</v>
      </c>
      <c r="AA27" t="s">
        <v>224</v>
      </c>
      <c r="AB27" s="162">
        <f>'1040 W4 PLANNER 2021'!S75</f>
        <v>0</v>
      </c>
      <c r="AC27" s="170"/>
      <c r="AD27" s="163"/>
    </row>
    <row r="28" spans="1:30" x14ac:dyDescent="0.25">
      <c r="A28" s="125">
        <f>ROUND(A27/1000,0)*1000</f>
        <v>0</v>
      </c>
      <c r="B28" s="111"/>
      <c r="C28" s="111" t="s">
        <v>125</v>
      </c>
      <c r="D28" s="111"/>
      <c r="E28" s="111"/>
      <c r="F28" s="111"/>
      <c r="G28" s="111"/>
      <c r="H28" s="123"/>
      <c r="J28" t="s">
        <v>225</v>
      </c>
      <c r="L28" t="s">
        <v>342</v>
      </c>
      <c r="AA28" t="s">
        <v>225</v>
      </c>
      <c r="AB28" s="162">
        <f>'1040 W4 PLANNER 2021'!S76</f>
        <v>0</v>
      </c>
      <c r="AC28" s="170"/>
      <c r="AD28" s="163"/>
    </row>
    <row r="29" spans="1:30" x14ac:dyDescent="0.25">
      <c r="A29" s="133">
        <f>A28/A6</f>
        <v>0</v>
      </c>
      <c r="B29" s="111"/>
      <c r="C29" s="111"/>
      <c r="D29" s="111"/>
      <c r="E29" s="111"/>
      <c r="F29" s="111"/>
      <c r="G29" s="111"/>
      <c r="H29" s="123"/>
      <c r="L29" t="s">
        <v>343</v>
      </c>
      <c r="AB29" s="168">
        <f>'1040 W4 PLANNER 2021'!S77</f>
        <v>0</v>
      </c>
      <c r="AC29" s="189"/>
      <c r="AD29" s="169"/>
    </row>
    <row r="30" spans="1:30" x14ac:dyDescent="0.25">
      <c r="A30" s="125">
        <f>A29*A25</f>
        <v>0</v>
      </c>
      <c r="B30" s="111"/>
      <c r="C30" s="111"/>
      <c r="D30" s="111"/>
      <c r="E30" s="111"/>
      <c r="F30" s="111"/>
      <c r="G30" s="111"/>
      <c r="H30" s="123"/>
      <c r="J30" t="s">
        <v>226</v>
      </c>
      <c r="L30" t="s">
        <v>107</v>
      </c>
      <c r="Q30" s="162">
        <f>'1040 W4 PLANNER 2021'!H78</f>
        <v>0</v>
      </c>
      <c r="R30" s="163"/>
      <c r="S30" s="72" t="s">
        <v>108</v>
      </c>
      <c r="U30" s="162">
        <f>'1040 W4 PLANNER 2021'!L78</f>
        <v>0</v>
      </c>
      <c r="V30" s="163"/>
      <c r="W30" s="8" t="s">
        <v>109</v>
      </c>
      <c r="X30" s="162">
        <f>'1040 W4 PLANNER 2021'!O78</f>
        <v>0</v>
      </c>
      <c r="Y30" s="163"/>
      <c r="Z30" t="s">
        <v>220</v>
      </c>
      <c r="AA30" t="s">
        <v>226</v>
      </c>
      <c r="AB30" s="168">
        <f>X30+U30+Q30</f>
        <v>0</v>
      </c>
      <c r="AC30" s="189"/>
      <c r="AD30" s="169"/>
    </row>
    <row r="31" spans="1:30" x14ac:dyDescent="0.25">
      <c r="A31" s="125"/>
      <c r="B31" s="134">
        <f>B25+A25</f>
        <v>0</v>
      </c>
      <c r="C31" s="111" t="s">
        <v>275</v>
      </c>
      <c r="D31" s="111"/>
      <c r="E31" s="111"/>
      <c r="F31" s="111"/>
      <c r="G31" s="111"/>
      <c r="H31" s="123"/>
      <c r="J31" t="s">
        <v>227</v>
      </c>
      <c r="L31" t="s">
        <v>344</v>
      </c>
      <c r="AA31" t="s">
        <v>227</v>
      </c>
      <c r="AB31" s="116">
        <f>'1040 W4 PLANNER 2021'!S79</f>
        <v>0</v>
      </c>
      <c r="AC31" s="118"/>
      <c r="AD31" s="117"/>
    </row>
    <row r="32" spans="1:30" x14ac:dyDescent="0.25">
      <c r="A32" s="125"/>
      <c r="B32" s="111"/>
      <c r="C32" s="111"/>
      <c r="D32" s="111"/>
      <c r="E32" s="111"/>
      <c r="F32" s="111"/>
      <c r="G32" s="111"/>
      <c r="H32" s="123"/>
      <c r="L32" t="s">
        <v>345</v>
      </c>
      <c r="AB32" s="116">
        <f>'1040 W4 PLANNER 2021'!S80</f>
        <v>0</v>
      </c>
      <c r="AC32" s="118"/>
      <c r="AD32" s="117"/>
    </row>
    <row r="33" spans="1:30" x14ac:dyDescent="0.25">
      <c r="A33" s="125"/>
      <c r="B33" s="111"/>
      <c r="C33" s="111"/>
      <c r="D33" s="111"/>
      <c r="E33" s="111"/>
      <c r="F33" s="111"/>
      <c r="G33" s="111"/>
      <c r="H33" s="123"/>
      <c r="J33" t="s">
        <v>228</v>
      </c>
      <c r="L33" t="s">
        <v>388</v>
      </c>
      <c r="S33" s="139"/>
      <c r="T33" s="139"/>
      <c r="U33" s="139"/>
      <c r="V33" s="139"/>
      <c r="W33" s="139"/>
      <c r="AA33" t="s">
        <v>228</v>
      </c>
      <c r="AB33" s="116">
        <f>'1040 W4 PLANNER 2021'!S81</f>
        <v>0</v>
      </c>
      <c r="AC33" s="118"/>
      <c r="AD33" s="117"/>
    </row>
    <row r="34" spans="1:30" x14ac:dyDescent="0.25">
      <c r="A34" s="125"/>
      <c r="B34" s="138"/>
      <c r="C34" s="138"/>
      <c r="D34" s="111"/>
      <c r="E34" s="111"/>
      <c r="F34" s="111"/>
      <c r="G34" s="111"/>
      <c r="H34" s="123"/>
      <c r="J34" t="s">
        <v>229</v>
      </c>
      <c r="L34" t="s">
        <v>346</v>
      </c>
      <c r="S34" s="139"/>
      <c r="T34" s="139"/>
      <c r="U34" s="139"/>
      <c r="V34" s="139"/>
      <c r="W34" s="139"/>
      <c r="AA34" t="s">
        <v>229</v>
      </c>
      <c r="AB34" s="168">
        <f>SUM(AB25+AB29+AB30+AB31+AB32+AB33)</f>
        <v>0</v>
      </c>
      <c r="AC34" s="189"/>
      <c r="AD34" s="169"/>
    </row>
    <row r="35" spans="1:30" x14ac:dyDescent="0.25">
      <c r="A35" s="125"/>
      <c r="B35" s="138"/>
      <c r="C35" s="138"/>
      <c r="D35" s="111"/>
      <c r="E35" s="111"/>
      <c r="F35" s="111"/>
      <c r="G35" s="111"/>
      <c r="H35" s="123"/>
      <c r="J35" s="15"/>
      <c r="K35" s="15"/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  <c r="X35" s="16"/>
      <c r="Y35" s="16"/>
      <c r="Z35" s="16"/>
      <c r="AA35" s="16"/>
      <c r="AB35" s="18"/>
      <c r="AC35" s="18"/>
      <c r="AD35" s="18"/>
    </row>
    <row r="36" spans="1:30" x14ac:dyDescent="0.25">
      <c r="A36" s="125"/>
      <c r="B36" s="111"/>
      <c r="C36" s="111"/>
      <c r="D36" s="111"/>
      <c r="E36" s="111"/>
      <c r="F36" s="111"/>
      <c r="G36" s="111"/>
      <c r="H36" s="123"/>
      <c r="J36" s="8">
        <v>40</v>
      </c>
      <c r="K36" s="8"/>
      <c r="L36" t="s">
        <v>347</v>
      </c>
      <c r="AA36" s="8">
        <v>40</v>
      </c>
      <c r="AB36" s="168">
        <f>'1040 W4 PLANNER 2021'!S84</f>
        <v>25100</v>
      </c>
      <c r="AC36" s="189"/>
      <c r="AD36" s="169"/>
    </row>
    <row r="37" spans="1:30" x14ac:dyDescent="0.25">
      <c r="J37" s="8">
        <v>40</v>
      </c>
      <c r="K37" s="8"/>
      <c r="L37" t="s">
        <v>348</v>
      </c>
      <c r="AA37" s="8">
        <v>40</v>
      </c>
      <c r="AB37" s="168">
        <f>IF(AB34&gt;AB36,AB34,AB36)</f>
        <v>25100</v>
      </c>
      <c r="AC37" s="189"/>
      <c r="AD37" s="169"/>
    </row>
    <row r="38" spans="1:30" x14ac:dyDescent="0.25">
      <c r="J38" s="8">
        <v>41</v>
      </c>
      <c r="K38" s="8"/>
      <c r="L38" t="s">
        <v>349</v>
      </c>
      <c r="AA38" s="8">
        <v>41</v>
      </c>
      <c r="AB38" s="168">
        <f>IF(AB20&gt;AB37,AB20-AB37,0)</f>
        <v>0</v>
      </c>
      <c r="AC38" s="189"/>
      <c r="AD38" s="169"/>
    </row>
    <row r="39" spans="1:30" x14ac:dyDescent="0.25">
      <c r="J39" s="12">
        <v>43</v>
      </c>
      <c r="K39" s="12"/>
      <c r="L39" s="11" t="s">
        <v>350</v>
      </c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2">
        <v>43</v>
      </c>
      <c r="AB39" s="160">
        <f>AB38</f>
        <v>0</v>
      </c>
      <c r="AC39" s="160"/>
      <c r="AD39" s="160"/>
    </row>
  </sheetData>
  <mergeCells count="20">
    <mergeCell ref="AB38:AD38"/>
    <mergeCell ref="AB39:AD39"/>
    <mergeCell ref="AB34:AD34"/>
    <mergeCell ref="AB36:AD36"/>
    <mergeCell ref="AB37:AD37"/>
    <mergeCell ref="AB29:AD29"/>
    <mergeCell ref="Q30:R30"/>
    <mergeCell ref="U30:V30"/>
    <mergeCell ref="X30:Y30"/>
    <mergeCell ref="AB30:AD30"/>
    <mergeCell ref="S26:T26"/>
    <mergeCell ref="Y26:Z26"/>
    <mergeCell ref="AB26:AD26"/>
    <mergeCell ref="AB27:AD27"/>
    <mergeCell ref="AB28:AD28"/>
    <mergeCell ref="V18:Z18"/>
    <mergeCell ref="R15:S15"/>
    <mergeCell ref="O25:P25"/>
    <mergeCell ref="R25:S25"/>
    <mergeCell ref="AB25:AD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Z68"/>
  <sheetViews>
    <sheetView workbookViewId="0">
      <selection activeCell="N15" sqref="N15"/>
    </sheetView>
  </sheetViews>
  <sheetFormatPr defaultRowHeight="15" x14ac:dyDescent="0.25"/>
  <cols>
    <col min="1" max="1" width="4.5703125" customWidth="1"/>
    <col min="2" max="2" width="5.42578125" customWidth="1"/>
    <col min="3" max="3" width="4.140625" customWidth="1"/>
    <col min="4" max="5" width="5.7109375" customWidth="1"/>
    <col min="6" max="6" width="10.7109375" customWidth="1"/>
    <col min="7" max="9" width="8.7109375" customWidth="1"/>
    <col min="10" max="10" width="6.7109375" customWidth="1"/>
    <col min="11" max="11" width="9.140625" customWidth="1"/>
    <col min="12" max="12" width="13.85546875" customWidth="1"/>
    <col min="13" max="13" width="15.140625" bestFit="1" customWidth="1"/>
    <col min="14" max="14" width="15.140625" customWidth="1"/>
    <col min="15" max="15" width="16" customWidth="1"/>
    <col min="16" max="16" width="14.140625" customWidth="1"/>
    <col min="17" max="17" width="17.28515625" customWidth="1"/>
    <col min="18" max="18" width="17.7109375" customWidth="1"/>
    <col min="19" max="19" width="2.7109375" customWidth="1"/>
    <col min="20" max="20" width="15.85546875" customWidth="1"/>
    <col min="21" max="21" width="15.140625" customWidth="1"/>
    <col min="22" max="22" width="10" customWidth="1"/>
    <col min="23" max="23" width="12.7109375" customWidth="1"/>
  </cols>
  <sheetData>
    <row r="1" spans="1:23" x14ac:dyDescent="0.25">
      <c r="A1" s="80" t="s">
        <v>434</v>
      </c>
      <c r="B1" s="34"/>
      <c r="C1" s="34"/>
      <c r="D1" s="34"/>
    </row>
    <row r="2" spans="1:23" x14ac:dyDescent="0.25">
      <c r="A2" t="s">
        <v>46</v>
      </c>
    </row>
    <row r="3" spans="1:23" ht="45" customHeight="1" x14ac:dyDescent="0.25">
      <c r="B3" s="9" t="s">
        <v>7</v>
      </c>
      <c r="C3" s="88" t="s">
        <v>296</v>
      </c>
      <c r="D3" s="9" t="s">
        <v>9</v>
      </c>
      <c r="E3" s="9" t="s">
        <v>10</v>
      </c>
      <c r="F3" s="10" t="s">
        <v>300</v>
      </c>
      <c r="G3" s="10" t="s">
        <v>292</v>
      </c>
      <c r="H3" s="87" t="s">
        <v>294</v>
      </c>
      <c r="I3" s="87" t="s">
        <v>301</v>
      </c>
      <c r="J3" s="10" t="s">
        <v>12</v>
      </c>
      <c r="K3" s="93" t="s">
        <v>296</v>
      </c>
      <c r="L3" s="93" t="s">
        <v>304</v>
      </c>
      <c r="M3" s="10" t="s">
        <v>11</v>
      </c>
      <c r="N3" s="95"/>
      <c r="O3" s="10" t="s">
        <v>37</v>
      </c>
      <c r="P3" s="10" t="s">
        <v>15</v>
      </c>
      <c r="Q3" s="10" t="s">
        <v>14</v>
      </c>
      <c r="R3" s="10" t="s">
        <v>39</v>
      </c>
      <c r="S3" s="7" t="s">
        <v>13</v>
      </c>
      <c r="T3" s="24" t="s">
        <v>43</v>
      </c>
      <c r="U3" s="24" t="s">
        <v>42</v>
      </c>
    </row>
    <row r="4" spans="1:23" x14ac:dyDescent="0.25">
      <c r="A4">
        <v>1</v>
      </c>
      <c r="B4" s="2" t="str">
        <f>'1040 W4 PLANNER 2021'!A12</f>
        <v>T</v>
      </c>
      <c r="C4" s="2" t="str">
        <f>'1040 W4 PLANNER 2021'!B12</f>
        <v>Y</v>
      </c>
      <c r="D4" s="2">
        <f>'1040 W4 PLANNER 2021'!H12</f>
        <v>0</v>
      </c>
      <c r="E4" s="2">
        <f>'1040 W4 PLANNER 2021'!I12</f>
        <v>0</v>
      </c>
      <c r="F4" s="22">
        <f>'1040 W4 PLANNER 2021'!J12</f>
        <v>0</v>
      </c>
      <c r="G4" s="2">
        <f>'1040 W4 PLANNER 2021'!K12</f>
        <v>0</v>
      </c>
      <c r="H4" s="97">
        <f>'1040 W4 PLANNER 2021'!L12</f>
        <v>0</v>
      </c>
      <c r="I4" s="97">
        <f>'1040 W4 PLANNER 2021'!M12</f>
        <v>0</v>
      </c>
      <c r="J4" s="1">
        <f>'1040 W4 PLANNER 2021'!N12</f>
        <v>0</v>
      </c>
      <c r="K4" s="1"/>
      <c r="L4" s="1"/>
      <c r="M4" s="13">
        <f>'1040 W4 PLANNER 2021'!O12</f>
        <v>0</v>
      </c>
      <c r="N4" s="13"/>
      <c r="O4" s="13">
        <f>M4*E4</f>
        <v>0</v>
      </c>
      <c r="P4" s="14" t="s">
        <v>314</v>
      </c>
      <c r="Q4" s="14">
        <f>IF(F4="M",R23,IF(F4="S",R14,IF(F4="H",R32,IF(F4=0,0))))</f>
        <v>0</v>
      </c>
      <c r="R4" s="14">
        <f>Q4*E4</f>
        <v>0</v>
      </c>
      <c r="S4" s="2">
        <f>'1040 W4 PLANNER 2021'!U12</f>
        <v>0</v>
      </c>
      <c r="T4" s="23">
        <f>IF(B4="T", O4,0)</f>
        <v>0</v>
      </c>
      <c r="U4">
        <f>IF(B4="S", O4,0)</f>
        <v>0</v>
      </c>
    </row>
    <row r="5" spans="1:23" x14ac:dyDescent="0.25">
      <c r="A5">
        <v>2</v>
      </c>
      <c r="B5" s="2" t="str">
        <f>'1040 W4 PLANNER 2021'!A13</f>
        <v>t</v>
      </c>
      <c r="C5" s="2" t="str">
        <f>'1040 W4 PLANNER 2021'!B13</f>
        <v>Y</v>
      </c>
      <c r="D5" s="2">
        <f>'1040 W4 PLANNER 2021'!H13</f>
        <v>0</v>
      </c>
      <c r="E5" s="2">
        <f>'1040 W4 PLANNER 2021'!I13</f>
        <v>0</v>
      </c>
      <c r="F5" s="22">
        <f>'1040 W4 PLANNER 2021'!J13</f>
        <v>0</v>
      </c>
      <c r="G5" s="2">
        <f>'1040 W4 PLANNER 2021'!K13</f>
        <v>0</v>
      </c>
      <c r="H5" s="97">
        <f>'1040 W4 PLANNER 2021'!L13</f>
        <v>0</v>
      </c>
      <c r="I5" s="97">
        <f>'1040 W4 PLANNER 2021'!M13</f>
        <v>0</v>
      </c>
      <c r="J5" s="1">
        <f>'1040 W4 PLANNER 2021'!N13</f>
        <v>0</v>
      </c>
      <c r="K5" s="1"/>
      <c r="L5" s="1"/>
      <c r="M5" s="13">
        <f>'1040 W4 PLANNER 2021'!O13</f>
        <v>0</v>
      </c>
      <c r="N5" s="13"/>
      <c r="O5" s="13">
        <f t="shared" ref="O5:O11" si="0">M5*E5</f>
        <v>0</v>
      </c>
      <c r="P5" s="14" t="s">
        <v>314</v>
      </c>
      <c r="Q5" s="14">
        <f t="shared" ref="Q5:Q11" si="1">IF(F5="M",R24,IF(F5="S",R15,IF(F5="H",R33,IF(F5=0,0))))</f>
        <v>0</v>
      </c>
      <c r="R5" s="14">
        <f t="shared" ref="R5:R11" si="2">Q5*E5</f>
        <v>0</v>
      </c>
      <c r="S5" s="2"/>
      <c r="T5" s="23">
        <f t="shared" ref="T5:T11" si="3">IF(B5="T", O5,0)</f>
        <v>0</v>
      </c>
      <c r="U5">
        <f t="shared" ref="U5:U11" si="4">IF(B5="S", O5,0)</f>
        <v>0</v>
      </c>
    </row>
    <row r="6" spans="1:23" x14ac:dyDescent="0.25">
      <c r="A6">
        <v>3</v>
      </c>
      <c r="B6" s="2" t="str">
        <f>'1040 W4 PLANNER 2021'!A14</f>
        <v>s</v>
      </c>
      <c r="C6" s="2" t="str">
        <f>'1040 W4 PLANNER 2021'!B14</f>
        <v>Y</v>
      </c>
      <c r="D6" s="2">
        <f>'1040 W4 PLANNER 2021'!H14</f>
        <v>0</v>
      </c>
      <c r="E6" s="2">
        <f>'1040 W4 PLANNER 2021'!I14</f>
        <v>0</v>
      </c>
      <c r="F6" s="22">
        <f>'1040 W4 PLANNER 2021'!J14</f>
        <v>0</v>
      </c>
      <c r="G6" s="2">
        <f>'1040 W4 PLANNER 2021'!K14</f>
        <v>0</v>
      </c>
      <c r="H6" s="97">
        <f>'1040 W4 PLANNER 2021'!L14</f>
        <v>0</v>
      </c>
      <c r="I6" s="97">
        <f>'1040 W4 PLANNER 2021'!M14</f>
        <v>0</v>
      </c>
      <c r="J6" s="1">
        <f>'1040 W4 PLANNER 2021'!N14</f>
        <v>0</v>
      </c>
      <c r="K6" s="1"/>
      <c r="L6" s="1"/>
      <c r="M6" s="13">
        <f>'1040 W4 PLANNER 2021'!O14</f>
        <v>0</v>
      </c>
      <c r="N6" s="13"/>
      <c r="O6" s="13">
        <f t="shared" si="0"/>
        <v>0</v>
      </c>
      <c r="P6" s="14" t="s">
        <v>314</v>
      </c>
      <c r="Q6" s="14">
        <f t="shared" si="1"/>
        <v>0</v>
      </c>
      <c r="R6" s="14">
        <f t="shared" si="2"/>
        <v>0</v>
      </c>
      <c r="S6" s="2"/>
      <c r="T6" s="23">
        <f t="shared" si="3"/>
        <v>0</v>
      </c>
      <c r="U6">
        <f t="shared" si="4"/>
        <v>0</v>
      </c>
    </row>
    <row r="7" spans="1:23" x14ac:dyDescent="0.25">
      <c r="A7">
        <v>4</v>
      </c>
      <c r="B7" s="2">
        <f>'1040 W4 PLANNER 2021'!A15</f>
        <v>0</v>
      </c>
      <c r="C7" s="2" t="str">
        <f>'1040 W4 PLANNER 2021'!B15</f>
        <v>Y</v>
      </c>
      <c r="D7" s="2">
        <f>'1040 W4 PLANNER 2021'!H15</f>
        <v>0</v>
      </c>
      <c r="E7" s="2">
        <f>'1040 W4 PLANNER 2021'!I15</f>
        <v>0</v>
      </c>
      <c r="F7" s="22">
        <f>'1040 W4 PLANNER 2021'!J15</f>
        <v>0</v>
      </c>
      <c r="G7" s="2">
        <f>'1040 W4 PLANNER 2021'!K15</f>
        <v>0</v>
      </c>
      <c r="H7" s="97">
        <f>'1040 W4 PLANNER 2021'!L15</f>
        <v>0</v>
      </c>
      <c r="I7" s="97">
        <f>'1040 W4 PLANNER 2021'!M15</f>
        <v>0</v>
      </c>
      <c r="J7" s="1">
        <f>'1040 W4 PLANNER 2021'!N15</f>
        <v>0</v>
      </c>
      <c r="K7" s="1"/>
      <c r="L7" s="1"/>
      <c r="M7" s="13">
        <f>'1040 W4 PLANNER 2021'!O15</f>
        <v>0</v>
      </c>
      <c r="N7" s="13"/>
      <c r="O7" s="13">
        <f t="shared" si="0"/>
        <v>0</v>
      </c>
      <c r="P7" s="14" t="s">
        <v>314</v>
      </c>
      <c r="Q7" s="14">
        <f t="shared" si="1"/>
        <v>0</v>
      </c>
      <c r="R7" s="14">
        <f t="shared" si="2"/>
        <v>0</v>
      </c>
      <c r="S7" s="2"/>
      <c r="T7" s="23">
        <f t="shared" si="3"/>
        <v>0</v>
      </c>
      <c r="U7">
        <f t="shared" si="4"/>
        <v>0</v>
      </c>
    </row>
    <row r="8" spans="1:23" x14ac:dyDescent="0.25">
      <c r="A8">
        <v>5</v>
      </c>
      <c r="B8" s="2">
        <f>'1040 W4 PLANNER 2021'!A16</f>
        <v>0</v>
      </c>
      <c r="C8" s="2" t="str">
        <f>'1040 W4 PLANNER 2021'!B16</f>
        <v>Y</v>
      </c>
      <c r="D8" s="2">
        <f>'1040 W4 PLANNER 2021'!H16</f>
        <v>0</v>
      </c>
      <c r="E8" s="2">
        <f>'1040 W4 PLANNER 2021'!I16</f>
        <v>0</v>
      </c>
      <c r="F8" s="22">
        <f>'1040 W4 PLANNER 2021'!J16</f>
        <v>0</v>
      </c>
      <c r="G8" s="2">
        <f>'1040 W4 PLANNER 2021'!K16</f>
        <v>0</v>
      </c>
      <c r="H8" s="97">
        <f>'1040 W4 PLANNER 2021'!L16</f>
        <v>0</v>
      </c>
      <c r="I8" s="97">
        <f>'1040 W4 PLANNER 2021'!M16</f>
        <v>0</v>
      </c>
      <c r="J8" s="1">
        <f>'1040 W4 PLANNER 2021'!N16</f>
        <v>0</v>
      </c>
      <c r="K8" s="1"/>
      <c r="L8" s="1"/>
      <c r="M8" s="13">
        <f>'1040 W4 PLANNER 2021'!O16</f>
        <v>0</v>
      </c>
      <c r="N8" s="13"/>
      <c r="O8" s="13">
        <f t="shared" si="0"/>
        <v>0</v>
      </c>
      <c r="P8" s="14" t="s">
        <v>314</v>
      </c>
      <c r="Q8" s="14">
        <f t="shared" si="1"/>
        <v>0</v>
      </c>
      <c r="R8" s="14">
        <f t="shared" si="2"/>
        <v>0</v>
      </c>
      <c r="S8" s="2"/>
      <c r="T8" s="23">
        <f t="shared" si="3"/>
        <v>0</v>
      </c>
      <c r="U8">
        <f t="shared" si="4"/>
        <v>0</v>
      </c>
    </row>
    <row r="9" spans="1:23" x14ac:dyDescent="0.25">
      <c r="A9">
        <v>6</v>
      </c>
      <c r="B9" s="2">
        <f>'1040 W4 PLANNER 2021'!A17</f>
        <v>0</v>
      </c>
      <c r="C9" s="2" t="str">
        <f>'1040 W4 PLANNER 2021'!B17</f>
        <v>Y</v>
      </c>
      <c r="D9" s="2">
        <f>'1040 W4 PLANNER 2021'!H17</f>
        <v>0</v>
      </c>
      <c r="E9" s="2">
        <f>'1040 W4 PLANNER 2021'!I17</f>
        <v>0</v>
      </c>
      <c r="F9" s="22">
        <f>'1040 W4 PLANNER 2021'!J17</f>
        <v>0</v>
      </c>
      <c r="G9" s="2">
        <f>'1040 W4 PLANNER 2021'!K17</f>
        <v>0</v>
      </c>
      <c r="H9" s="97">
        <f>'1040 W4 PLANNER 2021'!L17</f>
        <v>0</v>
      </c>
      <c r="I9" s="97">
        <f>'1040 W4 PLANNER 2021'!M17</f>
        <v>0</v>
      </c>
      <c r="J9" s="1">
        <f>'1040 W4 PLANNER 2021'!N17</f>
        <v>0</v>
      </c>
      <c r="K9" s="1"/>
      <c r="L9" s="1"/>
      <c r="M9" s="13">
        <f>'1040 W4 PLANNER 2021'!O17</f>
        <v>0</v>
      </c>
      <c r="N9" s="13"/>
      <c r="O9" s="13">
        <f t="shared" si="0"/>
        <v>0</v>
      </c>
      <c r="P9" s="14" t="s">
        <v>314</v>
      </c>
      <c r="Q9" s="14">
        <f t="shared" si="1"/>
        <v>0</v>
      </c>
      <c r="R9" s="14">
        <f t="shared" si="2"/>
        <v>0</v>
      </c>
      <c r="S9" s="2"/>
      <c r="T9" s="23">
        <f t="shared" si="3"/>
        <v>0</v>
      </c>
      <c r="U9">
        <f t="shared" si="4"/>
        <v>0</v>
      </c>
    </row>
    <row r="10" spans="1:23" x14ac:dyDescent="0.25">
      <c r="A10">
        <v>7</v>
      </c>
      <c r="B10" s="2">
        <f>'1040 W4 PLANNER 2021'!A18</f>
        <v>0</v>
      </c>
      <c r="C10" s="2" t="str">
        <f>'1040 W4 PLANNER 2021'!B18</f>
        <v>Y</v>
      </c>
      <c r="D10" s="2">
        <f>'1040 W4 PLANNER 2021'!H18</f>
        <v>0</v>
      </c>
      <c r="E10" s="2">
        <f>'1040 W4 PLANNER 2021'!I18</f>
        <v>0</v>
      </c>
      <c r="F10" s="22">
        <f>'1040 W4 PLANNER 2021'!J18</f>
        <v>0</v>
      </c>
      <c r="G10" s="2">
        <f>'1040 W4 PLANNER 2021'!K18</f>
        <v>0</v>
      </c>
      <c r="H10" s="97">
        <f>'1040 W4 PLANNER 2021'!L18</f>
        <v>0</v>
      </c>
      <c r="I10" s="97">
        <f>'1040 W4 PLANNER 2021'!M18</f>
        <v>0</v>
      </c>
      <c r="J10" s="1">
        <f>'1040 W4 PLANNER 2021'!N18</f>
        <v>0</v>
      </c>
      <c r="K10" s="1"/>
      <c r="L10" s="1"/>
      <c r="M10" s="13">
        <f>'1040 W4 PLANNER 2021'!O18</f>
        <v>0</v>
      </c>
      <c r="N10" s="13"/>
      <c r="O10" s="13">
        <f t="shared" si="0"/>
        <v>0</v>
      </c>
      <c r="P10" s="14" t="s">
        <v>314</v>
      </c>
      <c r="Q10" s="14">
        <f t="shared" si="1"/>
        <v>0</v>
      </c>
      <c r="R10" s="14">
        <f t="shared" si="2"/>
        <v>0</v>
      </c>
      <c r="S10" s="2"/>
      <c r="T10" s="23">
        <f t="shared" si="3"/>
        <v>0</v>
      </c>
      <c r="U10">
        <f t="shared" si="4"/>
        <v>0</v>
      </c>
    </row>
    <row r="11" spans="1:23" x14ac:dyDescent="0.25">
      <c r="A11">
        <v>8</v>
      </c>
      <c r="B11" s="2">
        <f>'1040 W4 PLANNER 2021'!A19</f>
        <v>0</v>
      </c>
      <c r="C11" s="2" t="str">
        <f>'1040 W4 PLANNER 2021'!B19</f>
        <v>Y</v>
      </c>
      <c r="D11" s="2">
        <f>'1040 W4 PLANNER 2021'!H19</f>
        <v>0</v>
      </c>
      <c r="E11" s="2">
        <f>'1040 W4 PLANNER 2021'!I19</f>
        <v>0</v>
      </c>
      <c r="F11" s="22">
        <f>'1040 W4 PLANNER 2021'!J19</f>
        <v>0</v>
      </c>
      <c r="G11" s="2">
        <f>'1040 W4 PLANNER 2021'!K19</f>
        <v>0</v>
      </c>
      <c r="H11" s="97">
        <f>'1040 W4 PLANNER 2021'!L19</f>
        <v>0</v>
      </c>
      <c r="I11" s="97">
        <f>'1040 W4 PLANNER 2021'!M19</f>
        <v>0</v>
      </c>
      <c r="J11" s="1">
        <f>'1040 W4 PLANNER 2021'!N19</f>
        <v>0</v>
      </c>
      <c r="K11" s="1"/>
      <c r="L11" s="1"/>
      <c r="M11" s="13">
        <f>'1040 W4 PLANNER 2021'!O19</f>
        <v>0</v>
      </c>
      <c r="N11" s="13"/>
      <c r="O11" s="13">
        <f t="shared" si="0"/>
        <v>0</v>
      </c>
      <c r="P11" s="14" t="s">
        <v>314</v>
      </c>
      <c r="Q11" s="14">
        <f t="shared" si="1"/>
        <v>0</v>
      </c>
      <c r="R11" s="14">
        <f t="shared" si="2"/>
        <v>0</v>
      </c>
      <c r="S11" s="2"/>
      <c r="T11" s="23">
        <f t="shared" si="3"/>
        <v>0</v>
      </c>
      <c r="U11">
        <f t="shared" si="4"/>
        <v>0</v>
      </c>
    </row>
    <row r="12" spans="1:23" x14ac:dyDescent="0.25">
      <c r="R12" s="19">
        <f>SUM(R4:R11)</f>
        <v>0</v>
      </c>
      <c r="T12" s="19">
        <f>SUM(T4:T11)</f>
        <v>0</v>
      </c>
      <c r="U12">
        <f>SUM(U4:U11)</f>
        <v>0</v>
      </c>
    </row>
    <row r="13" spans="1:23" ht="45" x14ac:dyDescent="0.25">
      <c r="A13" s="34" t="s">
        <v>92</v>
      </c>
      <c r="D13" t="s">
        <v>47</v>
      </c>
      <c r="E13" s="26" t="s">
        <v>48</v>
      </c>
      <c r="F13" s="26" t="s">
        <v>302</v>
      </c>
      <c r="G13" s="34" t="s">
        <v>303</v>
      </c>
      <c r="H13" s="102" t="s">
        <v>305</v>
      </c>
      <c r="I13" s="102" t="s">
        <v>306</v>
      </c>
      <c r="J13" t="s">
        <v>12</v>
      </c>
      <c r="K13" s="103" t="s">
        <v>307</v>
      </c>
      <c r="L13" t="s">
        <v>308</v>
      </c>
      <c r="M13" s="26" t="s">
        <v>309</v>
      </c>
      <c r="N13" s="26" t="s">
        <v>310</v>
      </c>
      <c r="O13" s="26" t="s">
        <v>433</v>
      </c>
      <c r="P13" s="150" t="s">
        <v>312</v>
      </c>
      <c r="Q13" s="26" t="s">
        <v>313</v>
      </c>
      <c r="R13" s="150" t="s">
        <v>401</v>
      </c>
      <c r="U13" s="26"/>
      <c r="V13" s="26" t="s">
        <v>24</v>
      </c>
      <c r="W13" t="s">
        <v>287</v>
      </c>
    </row>
    <row r="14" spans="1:23" x14ac:dyDescent="0.25">
      <c r="A14">
        <v>1</v>
      </c>
      <c r="B14" s="6"/>
      <c r="C14" s="6" t="str">
        <f>C4</f>
        <v>Y</v>
      </c>
      <c r="D14">
        <f>D4</f>
        <v>0</v>
      </c>
      <c r="E14">
        <f>E4</f>
        <v>0</v>
      </c>
      <c r="F14" s="19">
        <f>M4*D14</f>
        <v>0</v>
      </c>
      <c r="G14">
        <f t="shared" ref="G14:I15" si="5">G4</f>
        <v>0</v>
      </c>
      <c r="H14" s="98">
        <f t="shared" si="5"/>
        <v>0</v>
      </c>
      <c r="I14" s="98">
        <f t="shared" si="5"/>
        <v>0</v>
      </c>
      <c r="J14">
        <f>'1040 W4 PLANNER 2021'!N12</f>
        <v>0</v>
      </c>
      <c r="K14">
        <f>IF(C14="N",8600,0)</f>
        <v>0</v>
      </c>
      <c r="L14" s="19">
        <f>F14+H14-I14-K14</f>
        <v>0</v>
      </c>
      <c r="M14" s="36">
        <f>IF(L14&lt;6275,0,IF(L14&lt;11250,(L14-6275)*0.1,IF(L14&lt;26538,(L14-11250)*0.12+497.5,IF(L14&lt;49463,(L14-26538)*0.22+2332,IF(L14&lt;88738,(L14-49463)*0.24+7375.5,IF(L14&lt;110988,(L14-88738)*0.32+16801.5,IF(L14&lt;268075,(L14-110988)*0.35+23921.5,(L14-268075)*0.37+78902.13)))))))</f>
        <v>0</v>
      </c>
      <c r="N14" s="36">
        <f>IF(L14&lt;3950,0,IF(L14&lt;13900,(L14-3950)*0.1,IF(L14&lt;44475,(L14-13900)*0.12+995,IF(L14&lt;90325,(L14-44475)*0.22+4664,IF(L14&lt;168875,(L14-90325)*0.24+14751,IF(L14&lt;213375,(L14-168875)*0.32+33603,IF(L14&lt;527500,(L14-213375)*0.35+47843,(L14-527550)*0.37+157804.25)))))))</f>
        <v>0</v>
      </c>
      <c r="O14" s="20">
        <f>IF(C14="Y",M14,N14)</f>
        <v>0</v>
      </c>
      <c r="P14" s="20">
        <f>IF(D14&lt;&gt;0,(((O14-G14)/D14)+J14),0)</f>
        <v>0</v>
      </c>
      <c r="Q14" s="20">
        <f>P14*E14</f>
        <v>0</v>
      </c>
      <c r="R14" s="20">
        <f>IF(D14=1,W14,IF(P14&lt;0,0,P14))</f>
        <v>0</v>
      </c>
      <c r="T14" t="s">
        <v>40</v>
      </c>
      <c r="U14" s="36"/>
      <c r="V14" s="20"/>
      <c r="W14" s="20">
        <f>IF(D14=1,L14*0.22,0)</f>
        <v>0</v>
      </c>
    </row>
    <row r="15" spans="1:23" x14ac:dyDescent="0.25">
      <c r="A15">
        <v>2</v>
      </c>
      <c r="B15" s="6"/>
      <c r="C15" s="6" t="str">
        <f t="shared" ref="C15:C21" si="6">C5</f>
        <v>Y</v>
      </c>
      <c r="D15">
        <f t="shared" ref="D15:D21" si="7">D5</f>
        <v>0</v>
      </c>
      <c r="E15">
        <f t="shared" ref="E15:E21" si="8">E5</f>
        <v>0</v>
      </c>
      <c r="F15" s="19">
        <f>M5*D15</f>
        <v>0</v>
      </c>
      <c r="G15">
        <f t="shared" si="5"/>
        <v>0</v>
      </c>
      <c r="H15" s="98">
        <f t="shared" si="5"/>
        <v>0</v>
      </c>
      <c r="I15" s="98">
        <f t="shared" si="5"/>
        <v>0</v>
      </c>
      <c r="J15">
        <f>'1040 W4 PLANNER 2021'!N13</f>
        <v>0</v>
      </c>
      <c r="K15">
        <f t="shared" ref="K15:K21" si="9">IF(C15="N",8600,0)</f>
        <v>0</v>
      </c>
      <c r="L15" s="19">
        <f>F15+H15-I15-K15</f>
        <v>0</v>
      </c>
      <c r="M15" s="36">
        <f t="shared" ref="M15:M21" si="10">IF(L15&lt;6275,0,IF(L15&lt;11250,(L15-6275)*0.1,IF(L15&lt;26538,(L15-11250)*0.12+497.5,IF(L15&lt;49463,(L15-26538)*0.22+2332,IF(L15&lt;88738,(L15-49463)*0.24+7375.5,IF(L15&lt;110988,(L15-88738)*0.32+16801.5,IF(L15&lt;268075,(L15-110988)*0.35+23921.5,(L15-268075)*0.37+78902.13)))))))</f>
        <v>0</v>
      </c>
      <c r="N15" s="36">
        <f t="shared" ref="N15:N21" si="11">IF(L15&lt;3950,0,IF(L15&lt;13900,(L15-3950)*0.1,IF(L15&lt;44475,(L15-13900)*0.12+995,IF(L15&lt;90325,(L15-44475)*0.22+4664,IF(L15&lt;168875,(L15-90325)*0.24+14751,IF(L15&lt;213375,(L15-168875)*0.32+33603,IF(L15&lt;527500,(L15-213375)*0.35+47843,(L15-527550)*0.37+157804.25)))))))</f>
        <v>0</v>
      </c>
      <c r="O15" s="20">
        <f>IF(C15="Y",M15,N15)</f>
        <v>0</v>
      </c>
      <c r="P15" s="20">
        <f t="shared" ref="P14:P21" si="12">IF(D15&lt;&gt;0,(((O15-G15)/D15)+J15),0)</f>
        <v>0</v>
      </c>
      <c r="Q15" s="20">
        <f>P15*E15</f>
        <v>0</v>
      </c>
      <c r="R15" s="20">
        <f t="shared" ref="R15:R21" si="13">IF(D15=1,W15,IF(P15&lt;0,0,P15))</f>
        <v>0</v>
      </c>
      <c r="T15" t="s">
        <v>40</v>
      </c>
      <c r="U15" s="36"/>
      <c r="W15" s="20">
        <f t="shared" ref="W15:W39" si="14">IF(D15=1,L15*0.22,0)</f>
        <v>0</v>
      </c>
    </row>
    <row r="16" spans="1:23" x14ac:dyDescent="0.25">
      <c r="A16">
        <v>3</v>
      </c>
      <c r="B16" s="6"/>
      <c r="C16" s="6" t="str">
        <f t="shared" si="6"/>
        <v>Y</v>
      </c>
      <c r="D16">
        <f t="shared" si="7"/>
        <v>0</v>
      </c>
      <c r="E16">
        <f t="shared" si="8"/>
        <v>0</v>
      </c>
      <c r="F16" s="19">
        <f t="shared" ref="F16:F21" si="15">M6*D16</f>
        <v>0</v>
      </c>
      <c r="G16">
        <f t="shared" ref="G16:I16" si="16">G6</f>
        <v>0</v>
      </c>
      <c r="H16" s="98">
        <f t="shared" si="16"/>
        <v>0</v>
      </c>
      <c r="I16" s="98">
        <f t="shared" si="16"/>
        <v>0</v>
      </c>
      <c r="J16">
        <f>'1040 W4 PLANNER 2021'!N14</f>
        <v>0</v>
      </c>
      <c r="K16">
        <f t="shared" si="9"/>
        <v>0</v>
      </c>
      <c r="L16" s="19">
        <f t="shared" ref="L16:L21" si="17">F16+H16-I16-K16</f>
        <v>0</v>
      </c>
      <c r="M16" s="36">
        <f t="shared" si="10"/>
        <v>0</v>
      </c>
      <c r="N16" s="36">
        <f t="shared" si="11"/>
        <v>0</v>
      </c>
      <c r="O16" s="20">
        <f t="shared" ref="O16:O21" si="18">IF(C16="Y",M16,N16)</f>
        <v>0</v>
      </c>
      <c r="P16" s="20">
        <f t="shared" si="12"/>
        <v>0</v>
      </c>
      <c r="Q16" s="20">
        <f t="shared" ref="Q16:Q21" si="19">P16*E16</f>
        <v>0</v>
      </c>
      <c r="R16" s="20">
        <f t="shared" si="13"/>
        <v>0</v>
      </c>
      <c r="T16" t="s">
        <v>40</v>
      </c>
      <c r="U16" s="36"/>
      <c r="W16" s="20">
        <f t="shared" si="14"/>
        <v>0</v>
      </c>
    </row>
    <row r="17" spans="1:26" x14ac:dyDescent="0.25">
      <c r="A17">
        <v>4</v>
      </c>
      <c r="B17" s="6"/>
      <c r="C17" s="6" t="str">
        <f t="shared" si="6"/>
        <v>Y</v>
      </c>
      <c r="D17">
        <f t="shared" si="7"/>
        <v>0</v>
      </c>
      <c r="E17">
        <f t="shared" si="8"/>
        <v>0</v>
      </c>
      <c r="F17" s="19">
        <f t="shared" si="15"/>
        <v>0</v>
      </c>
      <c r="G17">
        <f t="shared" ref="G17:I17" si="20">G7</f>
        <v>0</v>
      </c>
      <c r="H17" s="98">
        <f t="shared" si="20"/>
        <v>0</v>
      </c>
      <c r="I17" s="98">
        <f t="shared" si="20"/>
        <v>0</v>
      </c>
      <c r="J17">
        <f>'1040 W4 PLANNER 2021'!N15</f>
        <v>0</v>
      </c>
      <c r="K17">
        <f t="shared" si="9"/>
        <v>0</v>
      </c>
      <c r="L17" s="19">
        <f t="shared" si="17"/>
        <v>0</v>
      </c>
      <c r="M17" s="36">
        <f t="shared" si="10"/>
        <v>0</v>
      </c>
      <c r="N17" s="36">
        <f t="shared" si="11"/>
        <v>0</v>
      </c>
      <c r="O17" s="20">
        <f t="shared" si="18"/>
        <v>0</v>
      </c>
      <c r="P17" s="20">
        <f t="shared" si="12"/>
        <v>0</v>
      </c>
      <c r="Q17" s="20">
        <f t="shared" si="19"/>
        <v>0</v>
      </c>
      <c r="R17" s="20">
        <f t="shared" si="13"/>
        <v>0</v>
      </c>
      <c r="T17" t="s">
        <v>40</v>
      </c>
      <c r="U17" s="36"/>
      <c r="W17" s="20">
        <f t="shared" si="14"/>
        <v>0</v>
      </c>
    </row>
    <row r="18" spans="1:26" x14ac:dyDescent="0.25">
      <c r="A18">
        <v>5</v>
      </c>
      <c r="B18" s="6"/>
      <c r="C18" s="6" t="str">
        <f t="shared" si="6"/>
        <v>Y</v>
      </c>
      <c r="D18">
        <f t="shared" si="7"/>
        <v>0</v>
      </c>
      <c r="E18">
        <f t="shared" si="8"/>
        <v>0</v>
      </c>
      <c r="F18" s="19">
        <f t="shared" si="15"/>
        <v>0</v>
      </c>
      <c r="G18">
        <f t="shared" ref="G18:I18" si="21">G8</f>
        <v>0</v>
      </c>
      <c r="H18" s="98">
        <f t="shared" si="21"/>
        <v>0</v>
      </c>
      <c r="I18" s="98">
        <f t="shared" si="21"/>
        <v>0</v>
      </c>
      <c r="J18">
        <f>'1040 W4 PLANNER 2021'!N16</f>
        <v>0</v>
      </c>
      <c r="K18">
        <f t="shared" si="9"/>
        <v>0</v>
      </c>
      <c r="L18" s="19">
        <f t="shared" si="17"/>
        <v>0</v>
      </c>
      <c r="M18" s="36">
        <f t="shared" si="10"/>
        <v>0</v>
      </c>
      <c r="N18" s="36">
        <f t="shared" si="11"/>
        <v>0</v>
      </c>
      <c r="O18" s="20">
        <f t="shared" si="18"/>
        <v>0</v>
      </c>
      <c r="P18" s="20">
        <f t="shared" si="12"/>
        <v>0</v>
      </c>
      <c r="Q18" s="20">
        <f t="shared" si="19"/>
        <v>0</v>
      </c>
      <c r="R18" s="20">
        <f t="shared" si="13"/>
        <v>0</v>
      </c>
      <c r="T18" t="s">
        <v>40</v>
      </c>
      <c r="U18" s="36"/>
      <c r="W18" s="20">
        <f t="shared" si="14"/>
        <v>0</v>
      </c>
    </row>
    <row r="19" spans="1:26" x14ac:dyDescent="0.25">
      <c r="A19">
        <v>6</v>
      </c>
      <c r="B19" s="6"/>
      <c r="C19" s="6" t="str">
        <f t="shared" si="6"/>
        <v>Y</v>
      </c>
      <c r="D19">
        <f t="shared" si="7"/>
        <v>0</v>
      </c>
      <c r="E19">
        <f t="shared" si="8"/>
        <v>0</v>
      </c>
      <c r="F19" s="19">
        <f t="shared" si="15"/>
        <v>0</v>
      </c>
      <c r="G19">
        <f t="shared" ref="G19:I19" si="22">G9</f>
        <v>0</v>
      </c>
      <c r="H19" s="98">
        <f t="shared" si="22"/>
        <v>0</v>
      </c>
      <c r="I19" s="98">
        <f t="shared" si="22"/>
        <v>0</v>
      </c>
      <c r="J19">
        <f>'1040 W4 PLANNER 2021'!N17</f>
        <v>0</v>
      </c>
      <c r="K19">
        <f t="shared" si="9"/>
        <v>0</v>
      </c>
      <c r="L19" s="19">
        <f t="shared" si="17"/>
        <v>0</v>
      </c>
      <c r="M19" s="36">
        <f t="shared" si="10"/>
        <v>0</v>
      </c>
      <c r="N19" s="36">
        <f t="shared" si="11"/>
        <v>0</v>
      </c>
      <c r="O19" s="20">
        <f t="shared" si="18"/>
        <v>0</v>
      </c>
      <c r="P19" s="20">
        <f t="shared" si="12"/>
        <v>0</v>
      </c>
      <c r="Q19" s="20">
        <f t="shared" si="19"/>
        <v>0</v>
      </c>
      <c r="R19" s="20">
        <f t="shared" si="13"/>
        <v>0</v>
      </c>
      <c r="T19" t="s">
        <v>40</v>
      </c>
      <c r="U19" s="36"/>
      <c r="W19" s="20">
        <f t="shared" si="14"/>
        <v>0</v>
      </c>
    </row>
    <row r="20" spans="1:26" x14ac:dyDescent="0.25">
      <c r="A20">
        <v>7</v>
      </c>
      <c r="B20" s="6"/>
      <c r="C20" s="6" t="str">
        <f t="shared" si="6"/>
        <v>Y</v>
      </c>
      <c r="D20">
        <f t="shared" si="7"/>
        <v>0</v>
      </c>
      <c r="E20">
        <f t="shared" si="8"/>
        <v>0</v>
      </c>
      <c r="F20" s="19">
        <f t="shared" si="15"/>
        <v>0</v>
      </c>
      <c r="G20">
        <f t="shared" ref="G20:I20" si="23">G10</f>
        <v>0</v>
      </c>
      <c r="H20" s="98">
        <f t="shared" si="23"/>
        <v>0</v>
      </c>
      <c r="I20" s="98">
        <f t="shared" si="23"/>
        <v>0</v>
      </c>
      <c r="J20">
        <f>'1040 W4 PLANNER 2021'!N18</f>
        <v>0</v>
      </c>
      <c r="K20">
        <f t="shared" si="9"/>
        <v>0</v>
      </c>
      <c r="L20" s="19">
        <f t="shared" si="17"/>
        <v>0</v>
      </c>
      <c r="M20" s="36">
        <f t="shared" si="10"/>
        <v>0</v>
      </c>
      <c r="N20" s="36">
        <f t="shared" si="11"/>
        <v>0</v>
      </c>
      <c r="O20" s="20">
        <f t="shared" si="18"/>
        <v>0</v>
      </c>
      <c r="P20" s="20">
        <f t="shared" si="12"/>
        <v>0</v>
      </c>
      <c r="Q20" s="20">
        <f t="shared" si="19"/>
        <v>0</v>
      </c>
      <c r="R20" s="20">
        <f t="shared" si="13"/>
        <v>0</v>
      </c>
      <c r="T20" t="s">
        <v>40</v>
      </c>
      <c r="U20" s="36"/>
      <c r="W20" s="20">
        <f t="shared" si="14"/>
        <v>0</v>
      </c>
    </row>
    <row r="21" spans="1:26" x14ac:dyDescent="0.25">
      <c r="A21">
        <v>8</v>
      </c>
      <c r="B21" s="6"/>
      <c r="C21" s="6" t="str">
        <f t="shared" si="6"/>
        <v>Y</v>
      </c>
      <c r="D21">
        <f t="shared" si="7"/>
        <v>0</v>
      </c>
      <c r="E21">
        <f t="shared" si="8"/>
        <v>0</v>
      </c>
      <c r="F21" s="19">
        <f t="shared" si="15"/>
        <v>0</v>
      </c>
      <c r="G21">
        <f t="shared" ref="G21:I21" si="24">G11</f>
        <v>0</v>
      </c>
      <c r="H21" s="98">
        <f t="shared" si="24"/>
        <v>0</v>
      </c>
      <c r="I21" s="98">
        <f t="shared" si="24"/>
        <v>0</v>
      </c>
      <c r="J21">
        <f>'1040 W4 PLANNER 2021'!N19</f>
        <v>0</v>
      </c>
      <c r="K21">
        <f t="shared" si="9"/>
        <v>0</v>
      </c>
      <c r="L21" s="19">
        <f t="shared" si="17"/>
        <v>0</v>
      </c>
      <c r="M21" s="36">
        <f t="shared" si="10"/>
        <v>0</v>
      </c>
      <c r="N21" s="36">
        <f t="shared" si="11"/>
        <v>0</v>
      </c>
      <c r="O21" s="20">
        <f t="shared" si="18"/>
        <v>0</v>
      </c>
      <c r="P21" s="20">
        <f t="shared" si="12"/>
        <v>0</v>
      </c>
      <c r="Q21" s="20">
        <f t="shared" si="19"/>
        <v>0</v>
      </c>
      <c r="R21" s="20">
        <f t="shared" si="13"/>
        <v>0</v>
      </c>
      <c r="T21" t="s">
        <v>40</v>
      </c>
      <c r="U21" s="36"/>
      <c r="W21" s="20">
        <f t="shared" si="14"/>
        <v>0</v>
      </c>
    </row>
    <row r="22" spans="1:26" x14ac:dyDescent="0.25">
      <c r="A22" s="34" t="s">
        <v>96</v>
      </c>
      <c r="B22" s="6"/>
      <c r="C22" s="6"/>
      <c r="W22" s="20">
        <f t="shared" si="14"/>
        <v>0</v>
      </c>
    </row>
    <row r="23" spans="1:26" x14ac:dyDescent="0.25">
      <c r="A23">
        <v>1</v>
      </c>
      <c r="B23" s="6"/>
      <c r="C23" s="6" t="str">
        <f>C4</f>
        <v>Y</v>
      </c>
      <c r="D23">
        <f>D4</f>
        <v>0</v>
      </c>
      <c r="E23">
        <f>E4</f>
        <v>0</v>
      </c>
      <c r="F23" s="19">
        <f>M4*D23</f>
        <v>0</v>
      </c>
      <c r="G23">
        <f>G4</f>
        <v>0</v>
      </c>
      <c r="H23">
        <f t="shared" ref="H23:J23" si="25">H4</f>
        <v>0</v>
      </c>
      <c r="I23">
        <f t="shared" si="25"/>
        <v>0</v>
      </c>
      <c r="J23">
        <f t="shared" si="25"/>
        <v>0</v>
      </c>
      <c r="K23">
        <f>IF(C23="N",12900,0)</f>
        <v>0</v>
      </c>
      <c r="L23" s="19">
        <f>F23+H23-I23-K23</f>
        <v>0</v>
      </c>
      <c r="M23" s="36">
        <f>IF(L23&lt;12550,0,IF(L23&lt;22500,(L23-12550)*0.1,IF(L23&lt;53075,(L23-22500)*0.12+995,IF(L23&lt;98925,(L23-53075)*0.22+4664,IF(L23&lt;177476,(L23-98925)*0.24+14751,IF(L23&lt;221975,(L23-177475)*0.32+33603,IF(L23&lt;326700,(L23-221975)*0.35+47843,(L23-326700)*0.37+84496.75)))))))</f>
        <v>0</v>
      </c>
      <c r="N23" s="36">
        <f>IF(L23&lt;12200,0,IF(L23&lt;32100,(L23-12200)*0.1,IF(L23&lt;93250,(L23-32200)*0.12+1990,IF(L23&lt;184950,(L23-93250)*0.22+9328,IF(L23&lt;342050,(L23-184950)*0.24+29502,IF(L23&lt;431050,(L23-342050)*0.32+67206,IF(L23&lt;640500,(L23-431050)*0.35+95686,(L23-640500)*0.37+168993.5)))))))</f>
        <v>0</v>
      </c>
      <c r="O23" s="20">
        <f>IF(C23="Y",M23,N23)</f>
        <v>0</v>
      </c>
      <c r="P23" s="20">
        <f t="shared" ref="P23" si="26">IF(D23&lt;&gt;0,(((O23-G23)/D23)+J23),0)</f>
        <v>0</v>
      </c>
      <c r="Q23" s="20">
        <f>P23*E23</f>
        <v>0</v>
      </c>
      <c r="R23" s="20">
        <f t="shared" ref="R23:R30" si="27">IF(D23=1,W23,IF(P23&lt;0,0,P23))</f>
        <v>0</v>
      </c>
      <c r="T23" t="s">
        <v>41</v>
      </c>
      <c r="U23" s="36"/>
      <c r="W23" s="20">
        <f t="shared" si="14"/>
        <v>0</v>
      </c>
      <c r="X23" t="s">
        <v>24</v>
      </c>
      <c r="Y23" t="s">
        <v>24</v>
      </c>
      <c r="Z23" t="s">
        <v>24</v>
      </c>
    </row>
    <row r="24" spans="1:26" x14ac:dyDescent="0.25">
      <c r="A24">
        <v>2</v>
      </c>
      <c r="B24" s="6"/>
      <c r="C24" s="6" t="str">
        <f t="shared" ref="C24:C30" si="28">C5</f>
        <v>Y</v>
      </c>
      <c r="D24">
        <f t="shared" ref="D24:D30" si="29">D5</f>
        <v>0</v>
      </c>
      <c r="E24">
        <f t="shared" ref="E24:E30" si="30">E5</f>
        <v>0</v>
      </c>
      <c r="F24" s="19">
        <f t="shared" ref="F24" si="31">M5*D24</f>
        <v>0</v>
      </c>
      <c r="G24">
        <f t="shared" ref="G24:J24" si="32">G5</f>
        <v>0</v>
      </c>
      <c r="H24">
        <f t="shared" si="32"/>
        <v>0</v>
      </c>
      <c r="I24">
        <f t="shared" si="32"/>
        <v>0</v>
      </c>
      <c r="J24">
        <f t="shared" si="32"/>
        <v>0</v>
      </c>
      <c r="K24">
        <f t="shared" ref="K24:K30" si="33">IF(C24="N",12900,0)</f>
        <v>0</v>
      </c>
      <c r="L24" s="19">
        <f t="shared" ref="L24" si="34">F24+H24-I24-K24</f>
        <v>0</v>
      </c>
      <c r="M24" s="36">
        <f t="shared" ref="M24:M30" si="35">IF(L24&lt;12550,0,IF(L24&lt;22500,(L24-12550)*0.1,IF(L24&lt;53075,(L24-22500)*0.12+995,IF(L24&lt;98925,(L24-53075)*0.22+4664,IF(L24&lt;177476,(L24-98925)*0.24+14751,IF(L24&lt;221975,(L24-177475)*0.32+33603,IF(L24&lt;326700,(L24-221975)*0.35+47843,(L24-326700)*0.37+84496.75)))))))</f>
        <v>0</v>
      </c>
      <c r="N24" s="36">
        <f t="shared" ref="N24:N30" si="36">IF(L24&lt;12200,0,IF(L24&lt;32100,(L24-12200)*0.1,IF(L24&lt;93250,(L24-32200)*0.12+1990,IF(L24&lt;184950,(L24-93250)*0.22+9328,IF(L24&lt;342050,(L24-184950)*0.24+29502,IF(L24&lt;431050,(L24-342050)*0.32+67206,IF(L24&lt;640500,(L24-431050)*0.35+95686,(L24-640500)*0.37+168993.5)))))))</f>
        <v>0</v>
      </c>
      <c r="O24" s="20">
        <f t="shared" ref="O24" si="37">IF(C24="Y",M24,N24)</f>
        <v>0</v>
      </c>
      <c r="P24" s="20">
        <f>IF(D24&lt;&gt;0,(((O24-G24)/D24)+J24),0)</f>
        <v>0</v>
      </c>
      <c r="Q24" s="20">
        <f t="shared" ref="Q24" si="38">P24*E24</f>
        <v>0</v>
      </c>
      <c r="R24" s="20">
        <f t="shared" si="27"/>
        <v>0</v>
      </c>
      <c r="T24" t="s">
        <v>41</v>
      </c>
      <c r="U24" s="36"/>
      <c r="W24" s="20">
        <f t="shared" si="14"/>
        <v>0</v>
      </c>
      <c r="Y24" t="s">
        <v>24</v>
      </c>
      <c r="Z24" t="s">
        <v>24</v>
      </c>
    </row>
    <row r="25" spans="1:26" x14ac:dyDescent="0.25">
      <c r="A25">
        <v>3</v>
      </c>
      <c r="B25" s="6"/>
      <c r="C25" s="6" t="str">
        <f t="shared" si="28"/>
        <v>Y</v>
      </c>
      <c r="D25">
        <f t="shared" si="29"/>
        <v>0</v>
      </c>
      <c r="E25">
        <f t="shared" si="30"/>
        <v>0</v>
      </c>
      <c r="F25" s="19">
        <f t="shared" ref="F25:F30" si="39">M6*D25</f>
        <v>0</v>
      </c>
      <c r="G25">
        <f t="shared" ref="G25:J25" si="40">G6</f>
        <v>0</v>
      </c>
      <c r="H25">
        <f t="shared" si="40"/>
        <v>0</v>
      </c>
      <c r="I25">
        <f t="shared" si="40"/>
        <v>0</v>
      </c>
      <c r="J25">
        <f t="shared" si="40"/>
        <v>0</v>
      </c>
      <c r="K25">
        <f t="shared" si="33"/>
        <v>0</v>
      </c>
      <c r="L25" s="19">
        <f t="shared" ref="L25:L30" si="41">F25+H25-I25-K25</f>
        <v>0</v>
      </c>
      <c r="M25" s="36">
        <f t="shared" si="35"/>
        <v>0</v>
      </c>
      <c r="N25" s="36">
        <f t="shared" si="36"/>
        <v>0</v>
      </c>
      <c r="O25" s="20">
        <f t="shared" ref="O25:O30" si="42">IF(C25="Y",M25,N25)</f>
        <v>0</v>
      </c>
      <c r="P25" s="20">
        <f t="shared" ref="P25:P30" si="43">IF(D25&lt;&gt;0,(((O25-G25)/D25)+J25),0)</f>
        <v>0</v>
      </c>
      <c r="Q25" s="20">
        <f t="shared" ref="Q25:Q30" si="44">P25*E25</f>
        <v>0</v>
      </c>
      <c r="R25" s="20">
        <f t="shared" si="27"/>
        <v>0</v>
      </c>
      <c r="T25" t="s">
        <v>41</v>
      </c>
      <c r="U25" s="36"/>
      <c r="W25" s="20">
        <f t="shared" si="14"/>
        <v>0</v>
      </c>
    </row>
    <row r="26" spans="1:26" x14ac:dyDescent="0.25">
      <c r="A26">
        <v>4</v>
      </c>
      <c r="B26" s="6"/>
      <c r="C26" s="6" t="str">
        <f t="shared" si="28"/>
        <v>Y</v>
      </c>
      <c r="D26">
        <f t="shared" si="29"/>
        <v>0</v>
      </c>
      <c r="E26">
        <f t="shared" si="30"/>
        <v>0</v>
      </c>
      <c r="F26" s="19">
        <f t="shared" si="39"/>
        <v>0</v>
      </c>
      <c r="G26">
        <f t="shared" ref="G26:J26" si="45">G7</f>
        <v>0</v>
      </c>
      <c r="H26">
        <f t="shared" si="45"/>
        <v>0</v>
      </c>
      <c r="I26">
        <f t="shared" si="45"/>
        <v>0</v>
      </c>
      <c r="J26">
        <f t="shared" si="45"/>
        <v>0</v>
      </c>
      <c r="K26">
        <f t="shared" si="33"/>
        <v>0</v>
      </c>
      <c r="L26" s="19">
        <f t="shared" si="41"/>
        <v>0</v>
      </c>
      <c r="M26" s="36">
        <f t="shared" si="35"/>
        <v>0</v>
      </c>
      <c r="N26" s="36">
        <f t="shared" si="36"/>
        <v>0</v>
      </c>
      <c r="O26" s="20">
        <f t="shared" si="42"/>
        <v>0</v>
      </c>
      <c r="P26" s="20">
        <f t="shared" si="43"/>
        <v>0</v>
      </c>
      <c r="Q26" s="20">
        <f t="shared" si="44"/>
        <v>0</v>
      </c>
      <c r="R26" s="20">
        <f t="shared" si="27"/>
        <v>0</v>
      </c>
      <c r="T26" t="s">
        <v>41</v>
      </c>
      <c r="U26" s="36"/>
      <c r="W26" s="20">
        <f t="shared" si="14"/>
        <v>0</v>
      </c>
    </row>
    <row r="27" spans="1:26" x14ac:dyDescent="0.25">
      <c r="A27">
        <v>5</v>
      </c>
      <c r="B27" s="6"/>
      <c r="C27" s="6" t="str">
        <f t="shared" si="28"/>
        <v>Y</v>
      </c>
      <c r="D27">
        <f t="shared" si="29"/>
        <v>0</v>
      </c>
      <c r="E27">
        <f t="shared" si="30"/>
        <v>0</v>
      </c>
      <c r="F27" s="19">
        <f t="shared" si="39"/>
        <v>0</v>
      </c>
      <c r="G27">
        <f t="shared" ref="G27:J27" si="46">G8</f>
        <v>0</v>
      </c>
      <c r="H27">
        <f t="shared" si="46"/>
        <v>0</v>
      </c>
      <c r="I27">
        <f t="shared" si="46"/>
        <v>0</v>
      </c>
      <c r="J27">
        <f t="shared" si="46"/>
        <v>0</v>
      </c>
      <c r="K27">
        <f t="shared" si="33"/>
        <v>0</v>
      </c>
      <c r="L27" s="19">
        <f t="shared" si="41"/>
        <v>0</v>
      </c>
      <c r="M27" s="36">
        <f t="shared" si="35"/>
        <v>0</v>
      </c>
      <c r="N27" s="36">
        <f t="shared" si="36"/>
        <v>0</v>
      </c>
      <c r="O27" s="20">
        <f t="shared" si="42"/>
        <v>0</v>
      </c>
      <c r="P27" s="20">
        <f t="shared" si="43"/>
        <v>0</v>
      </c>
      <c r="Q27" s="20">
        <f t="shared" si="44"/>
        <v>0</v>
      </c>
      <c r="R27" s="20">
        <f t="shared" si="27"/>
        <v>0</v>
      </c>
      <c r="T27" t="s">
        <v>41</v>
      </c>
      <c r="U27" s="36"/>
      <c r="W27" s="20">
        <f t="shared" si="14"/>
        <v>0</v>
      </c>
    </row>
    <row r="28" spans="1:26" x14ac:dyDescent="0.25">
      <c r="A28">
        <v>6</v>
      </c>
      <c r="B28" s="6"/>
      <c r="C28" s="6" t="str">
        <f t="shared" si="28"/>
        <v>Y</v>
      </c>
      <c r="D28">
        <f t="shared" si="29"/>
        <v>0</v>
      </c>
      <c r="E28">
        <f t="shared" si="30"/>
        <v>0</v>
      </c>
      <c r="F28" s="19">
        <f t="shared" si="39"/>
        <v>0</v>
      </c>
      <c r="G28">
        <f t="shared" ref="G28:J28" si="47">G9</f>
        <v>0</v>
      </c>
      <c r="H28">
        <f t="shared" si="47"/>
        <v>0</v>
      </c>
      <c r="I28">
        <f t="shared" si="47"/>
        <v>0</v>
      </c>
      <c r="J28">
        <f t="shared" si="47"/>
        <v>0</v>
      </c>
      <c r="K28">
        <f t="shared" si="33"/>
        <v>0</v>
      </c>
      <c r="L28" s="19">
        <f t="shared" si="41"/>
        <v>0</v>
      </c>
      <c r="M28" s="36">
        <f t="shared" si="35"/>
        <v>0</v>
      </c>
      <c r="N28" s="36">
        <f t="shared" si="36"/>
        <v>0</v>
      </c>
      <c r="O28" s="20">
        <f t="shared" si="42"/>
        <v>0</v>
      </c>
      <c r="P28" s="20">
        <f t="shared" si="43"/>
        <v>0</v>
      </c>
      <c r="Q28" s="20">
        <f t="shared" si="44"/>
        <v>0</v>
      </c>
      <c r="R28" s="20">
        <f t="shared" si="27"/>
        <v>0</v>
      </c>
      <c r="T28" t="s">
        <v>41</v>
      </c>
      <c r="U28" s="36"/>
      <c r="W28" s="20">
        <f t="shared" si="14"/>
        <v>0</v>
      </c>
    </row>
    <row r="29" spans="1:26" x14ac:dyDescent="0.25">
      <c r="A29">
        <v>7</v>
      </c>
      <c r="B29" s="6"/>
      <c r="C29" s="6" t="str">
        <f t="shared" si="28"/>
        <v>Y</v>
      </c>
      <c r="D29">
        <f t="shared" si="29"/>
        <v>0</v>
      </c>
      <c r="E29">
        <f t="shared" si="30"/>
        <v>0</v>
      </c>
      <c r="F29" s="19">
        <f t="shared" si="39"/>
        <v>0</v>
      </c>
      <c r="G29">
        <f t="shared" ref="G29:J29" si="48">G10</f>
        <v>0</v>
      </c>
      <c r="H29">
        <f t="shared" si="48"/>
        <v>0</v>
      </c>
      <c r="I29">
        <f t="shared" si="48"/>
        <v>0</v>
      </c>
      <c r="J29">
        <f t="shared" si="48"/>
        <v>0</v>
      </c>
      <c r="K29">
        <f t="shared" si="33"/>
        <v>0</v>
      </c>
      <c r="L29" s="19">
        <f t="shared" si="41"/>
        <v>0</v>
      </c>
      <c r="M29" s="36">
        <f t="shared" si="35"/>
        <v>0</v>
      </c>
      <c r="N29" s="36">
        <f t="shared" si="36"/>
        <v>0</v>
      </c>
      <c r="O29" s="20">
        <f t="shared" si="42"/>
        <v>0</v>
      </c>
      <c r="P29" s="20">
        <f t="shared" si="43"/>
        <v>0</v>
      </c>
      <c r="Q29" s="20">
        <f t="shared" si="44"/>
        <v>0</v>
      </c>
      <c r="R29" s="20">
        <f t="shared" si="27"/>
        <v>0</v>
      </c>
      <c r="T29" t="s">
        <v>41</v>
      </c>
      <c r="U29" s="36"/>
      <c r="W29" s="20">
        <f t="shared" si="14"/>
        <v>0</v>
      </c>
    </row>
    <row r="30" spans="1:26" x14ac:dyDescent="0.25">
      <c r="A30">
        <v>8</v>
      </c>
      <c r="B30" s="6"/>
      <c r="C30" s="6" t="str">
        <f t="shared" si="28"/>
        <v>Y</v>
      </c>
      <c r="D30">
        <f t="shared" si="29"/>
        <v>0</v>
      </c>
      <c r="E30">
        <f t="shared" si="30"/>
        <v>0</v>
      </c>
      <c r="F30" s="19">
        <f t="shared" si="39"/>
        <v>0</v>
      </c>
      <c r="G30">
        <f t="shared" ref="G30:J30" si="49">G11</f>
        <v>0</v>
      </c>
      <c r="H30">
        <f t="shared" si="49"/>
        <v>0</v>
      </c>
      <c r="I30">
        <f t="shared" si="49"/>
        <v>0</v>
      </c>
      <c r="J30">
        <f t="shared" si="49"/>
        <v>0</v>
      </c>
      <c r="K30">
        <f t="shared" si="33"/>
        <v>0</v>
      </c>
      <c r="L30" s="19">
        <f t="shared" si="41"/>
        <v>0</v>
      </c>
      <c r="M30" s="36">
        <f t="shared" si="35"/>
        <v>0</v>
      </c>
      <c r="N30" s="36">
        <f t="shared" si="36"/>
        <v>0</v>
      </c>
      <c r="O30" s="20">
        <f t="shared" si="42"/>
        <v>0</v>
      </c>
      <c r="P30" s="20">
        <f t="shared" si="43"/>
        <v>0</v>
      </c>
      <c r="Q30" s="20">
        <f t="shared" si="44"/>
        <v>0</v>
      </c>
      <c r="R30" s="20">
        <f t="shared" si="27"/>
        <v>0</v>
      </c>
      <c r="T30" t="s">
        <v>41</v>
      </c>
      <c r="U30" s="36"/>
      <c r="W30" s="20">
        <f t="shared" si="14"/>
        <v>0</v>
      </c>
    </row>
    <row r="31" spans="1:26" x14ac:dyDescent="0.25">
      <c r="A31" s="34" t="s">
        <v>98</v>
      </c>
      <c r="B31" s="6"/>
      <c r="C31" s="6"/>
      <c r="W31" s="20">
        <f t="shared" si="14"/>
        <v>0</v>
      </c>
    </row>
    <row r="32" spans="1:26" x14ac:dyDescent="0.25">
      <c r="A32">
        <v>1</v>
      </c>
      <c r="B32" s="6"/>
      <c r="C32" s="6" t="str">
        <f>C4</f>
        <v>Y</v>
      </c>
      <c r="D32">
        <f>D4</f>
        <v>0</v>
      </c>
      <c r="E32">
        <f t="shared" ref="E32:J32" si="50">E4</f>
        <v>0</v>
      </c>
      <c r="F32" s="19">
        <f>D32*M4</f>
        <v>0</v>
      </c>
      <c r="G32">
        <f t="shared" si="50"/>
        <v>0</v>
      </c>
      <c r="H32">
        <f t="shared" si="50"/>
        <v>0</v>
      </c>
      <c r="I32">
        <f t="shared" si="50"/>
        <v>0</v>
      </c>
      <c r="J32">
        <f t="shared" si="50"/>
        <v>0</v>
      </c>
      <c r="K32">
        <f>IF(C32="N",8600,0)</f>
        <v>0</v>
      </c>
      <c r="L32" s="19">
        <f>F32+H32-I32-K32</f>
        <v>0</v>
      </c>
      <c r="M32" s="36">
        <f>IF(L32&lt;9400,0,IF(L32&lt;16650,(L32-9400)*0.1,IF(L32&lt;36500,(L32-16650)*0.12+710,IF(L32&lt;52575,(L32-36500)*0.22+3110,IF(L32&lt;91850,(L32-52575)*0.24+6646.5,IF(L32&lt;114100,(L32-91850)*0.32+16072.5,IF(L32&lt;271200,(L32-114100)*0.35+23192.5,(L32-271200)*0.37+78177.5)))))))</f>
        <v>0</v>
      </c>
      <c r="N32" s="36">
        <f>IF(L32&lt;10200,0,IF(L32&lt;24400,(L32-10200)*0.1,IF(L32&lt;64400,(L32-24400)*0.12+1420,IF(L32&lt;96550,(L32-64400)*0.22+6220,IF(L32&lt;175100,(L32-96550)*0.24+13293,IF(L32&lt;219600,(L32-175100)*0.32+32145,IF(L32&lt;533800,(L32-219600)*0.35+46385,(L32-533800)*0.37+156355)))))))</f>
        <v>0</v>
      </c>
      <c r="O32" s="20">
        <f>IF(C32="Y",M32,N32)</f>
        <v>0</v>
      </c>
      <c r="P32" s="20">
        <f t="shared" ref="P32:P39" si="51">IF(D32&lt;&gt;0,(((O32-G32)/D32)+J32),0)</f>
        <v>0</v>
      </c>
      <c r="Q32" s="20">
        <f>P32*E32</f>
        <v>0</v>
      </c>
      <c r="R32" s="20">
        <f>IF(D32=1,W32,IF(P32&lt;0,0,P32))</f>
        <v>0</v>
      </c>
      <c r="T32" t="s">
        <v>291</v>
      </c>
      <c r="U32" s="36"/>
      <c r="W32" s="20">
        <f t="shared" si="14"/>
        <v>0</v>
      </c>
    </row>
    <row r="33" spans="1:23" x14ac:dyDescent="0.25">
      <c r="A33">
        <v>2</v>
      </c>
      <c r="B33" s="6"/>
      <c r="C33" s="6" t="str">
        <f t="shared" ref="C33:E33" si="52">C5</f>
        <v>Y</v>
      </c>
      <c r="D33">
        <f t="shared" si="52"/>
        <v>0</v>
      </c>
      <c r="E33">
        <f t="shared" si="52"/>
        <v>0</v>
      </c>
      <c r="F33" s="19">
        <f t="shared" ref="F33" si="53">D33*M5</f>
        <v>0</v>
      </c>
      <c r="G33">
        <f t="shared" ref="G33:J33" si="54">G5</f>
        <v>0</v>
      </c>
      <c r="H33">
        <f t="shared" si="54"/>
        <v>0</v>
      </c>
      <c r="I33">
        <f t="shared" si="54"/>
        <v>0</v>
      </c>
      <c r="J33">
        <f t="shared" si="54"/>
        <v>0</v>
      </c>
      <c r="K33">
        <f t="shared" ref="K33:K39" si="55">IF(C33="N",8600,0)</f>
        <v>0</v>
      </c>
      <c r="L33" s="19">
        <f t="shared" ref="L33" si="56">F33+H33-I33-K33</f>
        <v>0</v>
      </c>
      <c r="M33" s="36">
        <f t="shared" ref="M33:M39" si="57">IF(L33&lt;9400,0,IF(L33&lt;16650,(L33-9400)*0.1,IF(L33&lt;36500,(L33-16650)*0.12+710,IF(L33&lt;52575,(L33-36500)*0.22+3110,IF(L33&lt;91850,(L33-52575)*0.24+6646.5,IF(L33&lt;114100,(L33-91850)*0.32+16072.5,IF(L33&lt;271200,(L33-114100)*0.35+23192.5,(L33-271200)*0.37+78177.5)))))))</f>
        <v>0</v>
      </c>
      <c r="N33" s="36">
        <f t="shared" ref="N33:N39" si="58">IF(L33&lt;10200,0,IF(L33&lt;24400,(L33-10200)*0.1,IF(L33&lt;64400,(L33-24400)*0.12+1420,IF(L33&lt;96550,(L33-64400)*0.22+6220,IF(L33&lt;175100,(L33-96550)*0.24+13293,IF(L33&lt;219600,(L33-175100)*0.32+32145,IF(L33&lt;533800,(L33-219600)*0.35+46385,(L33-533800)*0.37+156355)))))))</f>
        <v>0</v>
      </c>
      <c r="O33" s="20">
        <f t="shared" ref="O33" si="59">IF(C33="Y",M33,N33)</f>
        <v>0</v>
      </c>
      <c r="P33" s="20">
        <f t="shared" si="51"/>
        <v>0</v>
      </c>
      <c r="Q33" s="20">
        <f t="shared" ref="Q33" si="60">P33*E33</f>
        <v>0</v>
      </c>
      <c r="R33" s="20">
        <f t="shared" ref="R32:R39" si="61">IF(P33&lt;0,0,P33)</f>
        <v>0</v>
      </c>
      <c r="T33" t="s">
        <v>291</v>
      </c>
      <c r="U33" s="36"/>
      <c r="W33" s="20">
        <f t="shared" si="14"/>
        <v>0</v>
      </c>
    </row>
    <row r="34" spans="1:23" x14ac:dyDescent="0.25">
      <c r="A34">
        <v>3</v>
      </c>
      <c r="B34" s="6"/>
      <c r="C34" s="6" t="str">
        <f t="shared" ref="C34:E34" si="62">C6</f>
        <v>Y</v>
      </c>
      <c r="D34">
        <f t="shared" si="62"/>
        <v>0</v>
      </c>
      <c r="E34">
        <f t="shared" si="62"/>
        <v>0</v>
      </c>
      <c r="F34" s="19">
        <f t="shared" ref="F34:F39" si="63">D34*M6</f>
        <v>0</v>
      </c>
      <c r="G34">
        <f t="shared" ref="G34:J34" si="64">G6</f>
        <v>0</v>
      </c>
      <c r="H34">
        <f t="shared" si="64"/>
        <v>0</v>
      </c>
      <c r="I34">
        <f t="shared" si="64"/>
        <v>0</v>
      </c>
      <c r="J34">
        <f t="shared" si="64"/>
        <v>0</v>
      </c>
      <c r="K34">
        <f t="shared" si="55"/>
        <v>0</v>
      </c>
      <c r="L34" s="19">
        <f t="shared" ref="L34:L39" si="65">F34+H34-I34-K34</f>
        <v>0</v>
      </c>
      <c r="M34" s="36">
        <f t="shared" si="57"/>
        <v>0</v>
      </c>
      <c r="N34" s="36">
        <f t="shared" si="58"/>
        <v>0</v>
      </c>
      <c r="O34" s="20">
        <f t="shared" ref="O34:O39" si="66">IF(C34="Y",M34,N34)</f>
        <v>0</v>
      </c>
      <c r="P34" s="20">
        <f t="shared" si="51"/>
        <v>0</v>
      </c>
      <c r="Q34" s="20">
        <f t="shared" ref="Q34:Q39" si="67">P34*E34</f>
        <v>0</v>
      </c>
      <c r="R34" s="20">
        <f t="shared" si="61"/>
        <v>0</v>
      </c>
      <c r="T34" t="s">
        <v>291</v>
      </c>
      <c r="U34" s="36"/>
      <c r="W34" s="20">
        <f t="shared" si="14"/>
        <v>0</v>
      </c>
    </row>
    <row r="35" spans="1:23" x14ac:dyDescent="0.25">
      <c r="A35">
        <v>4</v>
      </c>
      <c r="B35" s="6"/>
      <c r="C35" s="6" t="str">
        <f t="shared" ref="C35:E35" si="68">C7</f>
        <v>Y</v>
      </c>
      <c r="D35">
        <f t="shared" si="68"/>
        <v>0</v>
      </c>
      <c r="E35">
        <f t="shared" si="68"/>
        <v>0</v>
      </c>
      <c r="F35" s="19">
        <f t="shared" si="63"/>
        <v>0</v>
      </c>
      <c r="G35">
        <f t="shared" ref="G35:J35" si="69">G7</f>
        <v>0</v>
      </c>
      <c r="H35">
        <f t="shared" si="69"/>
        <v>0</v>
      </c>
      <c r="I35">
        <f t="shared" si="69"/>
        <v>0</v>
      </c>
      <c r="J35">
        <f t="shared" si="69"/>
        <v>0</v>
      </c>
      <c r="K35">
        <f t="shared" si="55"/>
        <v>0</v>
      </c>
      <c r="L35" s="19">
        <f t="shared" si="65"/>
        <v>0</v>
      </c>
      <c r="M35" s="36">
        <f t="shared" si="57"/>
        <v>0</v>
      </c>
      <c r="N35" s="36">
        <f t="shared" si="58"/>
        <v>0</v>
      </c>
      <c r="O35" s="20">
        <f t="shared" si="66"/>
        <v>0</v>
      </c>
      <c r="P35" s="20">
        <f t="shared" si="51"/>
        <v>0</v>
      </c>
      <c r="Q35" s="20">
        <f t="shared" si="67"/>
        <v>0</v>
      </c>
      <c r="R35" s="20">
        <f t="shared" si="61"/>
        <v>0</v>
      </c>
      <c r="T35" t="s">
        <v>291</v>
      </c>
      <c r="U35" s="36"/>
      <c r="W35" s="20">
        <f t="shared" si="14"/>
        <v>0</v>
      </c>
    </row>
    <row r="36" spans="1:23" x14ac:dyDescent="0.25">
      <c r="A36">
        <v>5</v>
      </c>
      <c r="B36" s="6"/>
      <c r="C36" s="6" t="str">
        <f t="shared" ref="C36:E36" si="70">C8</f>
        <v>Y</v>
      </c>
      <c r="D36">
        <f t="shared" si="70"/>
        <v>0</v>
      </c>
      <c r="E36">
        <f t="shared" si="70"/>
        <v>0</v>
      </c>
      <c r="F36" s="19">
        <f t="shared" si="63"/>
        <v>0</v>
      </c>
      <c r="G36">
        <f t="shared" ref="G36:J36" si="71">G8</f>
        <v>0</v>
      </c>
      <c r="H36">
        <f t="shared" si="71"/>
        <v>0</v>
      </c>
      <c r="I36">
        <f t="shared" si="71"/>
        <v>0</v>
      </c>
      <c r="J36">
        <f t="shared" si="71"/>
        <v>0</v>
      </c>
      <c r="K36">
        <f t="shared" si="55"/>
        <v>0</v>
      </c>
      <c r="L36" s="19">
        <f t="shared" si="65"/>
        <v>0</v>
      </c>
      <c r="M36" s="36">
        <f t="shared" si="57"/>
        <v>0</v>
      </c>
      <c r="N36" s="36">
        <f t="shared" si="58"/>
        <v>0</v>
      </c>
      <c r="O36" s="20">
        <f t="shared" si="66"/>
        <v>0</v>
      </c>
      <c r="P36" s="20">
        <f t="shared" si="51"/>
        <v>0</v>
      </c>
      <c r="Q36" s="20">
        <f t="shared" si="67"/>
        <v>0</v>
      </c>
      <c r="R36" s="20">
        <f t="shared" si="61"/>
        <v>0</v>
      </c>
      <c r="T36" t="s">
        <v>291</v>
      </c>
      <c r="U36" s="36"/>
      <c r="W36" s="20">
        <f t="shared" si="14"/>
        <v>0</v>
      </c>
    </row>
    <row r="37" spans="1:23" x14ac:dyDescent="0.25">
      <c r="A37">
        <v>6</v>
      </c>
      <c r="B37" s="6"/>
      <c r="C37" s="6" t="str">
        <f t="shared" ref="C37:E37" si="72">C9</f>
        <v>Y</v>
      </c>
      <c r="D37">
        <f t="shared" si="72"/>
        <v>0</v>
      </c>
      <c r="E37">
        <f t="shared" si="72"/>
        <v>0</v>
      </c>
      <c r="F37" s="19">
        <f t="shared" si="63"/>
        <v>0</v>
      </c>
      <c r="G37">
        <f t="shared" ref="G37:J37" si="73">G9</f>
        <v>0</v>
      </c>
      <c r="H37">
        <f t="shared" si="73"/>
        <v>0</v>
      </c>
      <c r="I37">
        <f t="shared" si="73"/>
        <v>0</v>
      </c>
      <c r="J37">
        <f t="shared" si="73"/>
        <v>0</v>
      </c>
      <c r="K37">
        <f t="shared" si="55"/>
        <v>0</v>
      </c>
      <c r="L37" s="19">
        <f t="shared" si="65"/>
        <v>0</v>
      </c>
      <c r="M37" s="36">
        <f t="shared" si="57"/>
        <v>0</v>
      </c>
      <c r="N37" s="36">
        <f t="shared" si="58"/>
        <v>0</v>
      </c>
      <c r="O37" s="20">
        <f t="shared" si="66"/>
        <v>0</v>
      </c>
      <c r="P37" s="20">
        <f t="shared" si="51"/>
        <v>0</v>
      </c>
      <c r="Q37" s="20">
        <f t="shared" si="67"/>
        <v>0</v>
      </c>
      <c r="R37" s="20">
        <f t="shared" si="61"/>
        <v>0</v>
      </c>
      <c r="T37" t="s">
        <v>291</v>
      </c>
      <c r="U37" s="36"/>
      <c r="W37" s="20">
        <f t="shared" si="14"/>
        <v>0</v>
      </c>
    </row>
    <row r="38" spans="1:23" x14ac:dyDescent="0.25">
      <c r="A38">
        <v>7</v>
      </c>
      <c r="B38" s="6"/>
      <c r="C38" s="6" t="str">
        <f t="shared" ref="C38:E38" si="74">C10</f>
        <v>Y</v>
      </c>
      <c r="D38">
        <f t="shared" si="74"/>
        <v>0</v>
      </c>
      <c r="E38">
        <f t="shared" si="74"/>
        <v>0</v>
      </c>
      <c r="F38" s="19">
        <f t="shared" si="63"/>
        <v>0</v>
      </c>
      <c r="G38">
        <f t="shared" ref="G38:J38" si="75">G10</f>
        <v>0</v>
      </c>
      <c r="H38">
        <f t="shared" si="75"/>
        <v>0</v>
      </c>
      <c r="I38">
        <f t="shared" si="75"/>
        <v>0</v>
      </c>
      <c r="J38">
        <f t="shared" si="75"/>
        <v>0</v>
      </c>
      <c r="K38">
        <f t="shared" si="55"/>
        <v>0</v>
      </c>
      <c r="L38" s="19">
        <f t="shared" si="65"/>
        <v>0</v>
      </c>
      <c r="M38" s="36">
        <f t="shared" si="57"/>
        <v>0</v>
      </c>
      <c r="N38" s="36">
        <f t="shared" si="58"/>
        <v>0</v>
      </c>
      <c r="O38" s="20">
        <f t="shared" si="66"/>
        <v>0</v>
      </c>
      <c r="P38" s="20">
        <f t="shared" si="51"/>
        <v>0</v>
      </c>
      <c r="Q38" s="20">
        <f t="shared" si="67"/>
        <v>0</v>
      </c>
      <c r="R38" s="20">
        <f t="shared" si="61"/>
        <v>0</v>
      </c>
      <c r="T38" t="s">
        <v>291</v>
      </c>
      <c r="U38" s="36"/>
      <c r="W38" s="20">
        <f t="shared" si="14"/>
        <v>0</v>
      </c>
    </row>
    <row r="39" spans="1:23" x14ac:dyDescent="0.25">
      <c r="A39">
        <v>8</v>
      </c>
      <c r="B39" s="6"/>
      <c r="C39" s="6" t="str">
        <f t="shared" ref="C39:E39" si="76">C11</f>
        <v>Y</v>
      </c>
      <c r="D39">
        <f t="shared" si="76"/>
        <v>0</v>
      </c>
      <c r="E39">
        <f t="shared" si="76"/>
        <v>0</v>
      </c>
      <c r="F39" s="19">
        <f t="shared" si="63"/>
        <v>0</v>
      </c>
      <c r="G39">
        <f t="shared" ref="G39:J39" si="77">G11</f>
        <v>0</v>
      </c>
      <c r="H39">
        <f t="shared" si="77"/>
        <v>0</v>
      </c>
      <c r="I39">
        <f t="shared" si="77"/>
        <v>0</v>
      </c>
      <c r="J39">
        <f t="shared" si="77"/>
        <v>0</v>
      </c>
      <c r="K39">
        <f t="shared" si="55"/>
        <v>0</v>
      </c>
      <c r="L39" s="19">
        <f t="shared" si="65"/>
        <v>0</v>
      </c>
      <c r="M39" s="36">
        <f t="shared" si="57"/>
        <v>0</v>
      </c>
      <c r="N39" s="36">
        <f t="shared" si="58"/>
        <v>0</v>
      </c>
      <c r="O39" s="20">
        <f t="shared" si="66"/>
        <v>0</v>
      </c>
      <c r="P39" s="20">
        <f t="shared" si="51"/>
        <v>0</v>
      </c>
      <c r="Q39" s="20">
        <f t="shared" si="67"/>
        <v>0</v>
      </c>
      <c r="R39" s="20">
        <f t="shared" si="61"/>
        <v>0</v>
      </c>
      <c r="T39" t="s">
        <v>291</v>
      </c>
      <c r="U39" s="36"/>
      <c r="W39" s="20">
        <f t="shared" si="14"/>
        <v>0</v>
      </c>
    </row>
    <row r="40" spans="1:23" x14ac:dyDescent="0.25">
      <c r="B40" s="6"/>
      <c r="C40" s="6"/>
    </row>
    <row r="41" spans="1:23" x14ac:dyDescent="0.25">
      <c r="B41" s="6"/>
      <c r="C41" s="6"/>
    </row>
    <row r="42" spans="1:23" x14ac:dyDescent="0.25">
      <c r="A42" t="s">
        <v>45</v>
      </c>
      <c r="B42" s="6"/>
      <c r="C42" s="6"/>
    </row>
    <row r="43" spans="1:23" ht="45" x14ac:dyDescent="0.25">
      <c r="B43" s="96" t="s">
        <v>7</v>
      </c>
      <c r="C43" s="96" t="s">
        <v>296</v>
      </c>
      <c r="D43" s="96" t="s">
        <v>9</v>
      </c>
      <c r="E43" s="96" t="s">
        <v>10</v>
      </c>
      <c r="F43" s="95" t="s">
        <v>300</v>
      </c>
      <c r="G43" s="95" t="s">
        <v>292</v>
      </c>
      <c r="H43" s="95" t="s">
        <v>294</v>
      </c>
      <c r="I43" s="95" t="s">
        <v>301</v>
      </c>
      <c r="J43" s="95" t="s">
        <v>12</v>
      </c>
      <c r="K43" s="95" t="s">
        <v>296</v>
      </c>
      <c r="L43" s="95" t="s">
        <v>304</v>
      </c>
      <c r="M43" s="95" t="s">
        <v>11</v>
      </c>
      <c r="N43" s="95"/>
      <c r="O43" s="95" t="s">
        <v>37</v>
      </c>
      <c r="P43" s="95" t="s">
        <v>15</v>
      </c>
      <c r="Q43" s="95" t="s">
        <v>14</v>
      </c>
      <c r="R43" s="95" t="s">
        <v>39</v>
      </c>
      <c r="S43" s="7" t="s">
        <v>13</v>
      </c>
      <c r="T43" s="24" t="s">
        <v>43</v>
      </c>
      <c r="U43" s="24" t="s">
        <v>42</v>
      </c>
    </row>
    <row r="44" spans="1:23" x14ac:dyDescent="0.25">
      <c r="A44">
        <v>1</v>
      </c>
      <c r="B44" s="2" t="str">
        <f>'1040 W4 PLANNER 2021'!A33</f>
        <v>T</v>
      </c>
      <c r="C44" s="2" t="str">
        <f>'1040 W4 PLANNER 2021'!B33</f>
        <v>Y</v>
      </c>
      <c r="D44" s="2">
        <f>'1040 W4 PLANNER 2021'!H33</f>
        <v>0</v>
      </c>
      <c r="E44" s="2">
        <f>'1040 W4 PLANNER 2021'!I33</f>
        <v>0</v>
      </c>
      <c r="F44" s="2">
        <f>'1040 W4 PLANNER 2021'!J33</f>
        <v>0</v>
      </c>
      <c r="G44" s="2">
        <f>'1040 W4 PLANNER 2021'!K33</f>
        <v>0</v>
      </c>
      <c r="H44" s="2">
        <f>'1040 W4 PLANNER 2021'!L33</f>
        <v>0</v>
      </c>
      <c r="I44" s="2">
        <f>'1040 W4 PLANNER 2021'!M33</f>
        <v>0</v>
      </c>
      <c r="J44" s="2">
        <f>'1040 W4 PLANNER 2021'!N33</f>
        <v>0</v>
      </c>
      <c r="K44" s="2"/>
      <c r="L44" s="2"/>
      <c r="M44" s="25">
        <f>'1040 W4 PLANNER 2021'!O33</f>
        <v>0</v>
      </c>
      <c r="N44" s="101"/>
      <c r="O44" s="13">
        <f>M44*E44</f>
        <v>0</v>
      </c>
      <c r="P44" s="13" t="s">
        <v>44</v>
      </c>
      <c r="Q44" s="14">
        <f>IF(F44="M",R58,IF(F44="S",R52,IF(F44="H",R64,IF(F44=0,0))))</f>
        <v>0</v>
      </c>
      <c r="R44" s="14">
        <f>Q44*E44</f>
        <v>0</v>
      </c>
      <c r="S44" s="2">
        <f>'1040 W4 PLANNER 2021'!U45</f>
        <v>0</v>
      </c>
      <c r="T44" s="23">
        <f>IF(B44="T", O44,0)</f>
        <v>0</v>
      </c>
      <c r="U44">
        <f>IF(B44="S", O44,0)</f>
        <v>0</v>
      </c>
    </row>
    <row r="45" spans="1:23" x14ac:dyDescent="0.25">
      <c r="A45">
        <v>2</v>
      </c>
      <c r="B45" s="2">
        <f>'1040 W4 PLANNER 2021'!A34</f>
        <v>0</v>
      </c>
      <c r="C45" s="2" t="str">
        <f>'1040 W4 PLANNER 2021'!B34</f>
        <v>Y</v>
      </c>
      <c r="D45" s="2">
        <f>'1040 W4 PLANNER 2021'!H34</f>
        <v>0</v>
      </c>
      <c r="E45" s="2">
        <f>'1040 W4 PLANNER 2021'!I34</f>
        <v>0</v>
      </c>
      <c r="F45" s="2">
        <f>'1040 W4 PLANNER 2021'!J34</f>
        <v>0</v>
      </c>
      <c r="G45" s="2">
        <f>'1040 W4 PLANNER 2021'!K34</f>
        <v>0</v>
      </c>
      <c r="H45" s="2"/>
      <c r="I45" s="2"/>
      <c r="J45" s="2">
        <f>'1040 W4 PLANNER 2021'!N34</f>
        <v>0</v>
      </c>
      <c r="K45" s="2"/>
      <c r="L45" s="2"/>
      <c r="M45" s="25">
        <f>'1040 W4 PLANNER 2021'!O34</f>
        <v>0</v>
      </c>
      <c r="N45" s="101"/>
      <c r="O45" s="13">
        <f>M45*E45</f>
        <v>0</v>
      </c>
      <c r="P45" s="13" t="s">
        <v>44</v>
      </c>
      <c r="Q45" s="14">
        <f t="shared" ref="Q45:Q48" si="78">IF(F45="M",R59,IF(F45="S",R53,IF(F45="H",R65,IF(F45=0,0))))</f>
        <v>0</v>
      </c>
      <c r="R45" s="25">
        <f>IF(D45&lt;&gt;0,((Q45)*E45),0)</f>
        <v>0</v>
      </c>
      <c r="S45" s="2"/>
      <c r="T45" s="23">
        <f>IF(B45="T", O45,0)</f>
        <v>0</v>
      </c>
      <c r="U45">
        <f>IF(B45="S", O45,0)</f>
        <v>0</v>
      </c>
    </row>
    <row r="46" spans="1:23" x14ac:dyDescent="0.25">
      <c r="A46">
        <v>3</v>
      </c>
      <c r="B46" s="2">
        <f>'1040 W4 PLANNER 2021'!A35</f>
        <v>0</v>
      </c>
      <c r="C46" s="2" t="str">
        <f>'1040 W4 PLANNER 2021'!B35</f>
        <v>Y</v>
      </c>
      <c r="D46" s="2">
        <f>'1040 W4 PLANNER 2021'!H35</f>
        <v>0</v>
      </c>
      <c r="E46" s="2">
        <f>'1040 W4 PLANNER 2021'!I35</f>
        <v>0</v>
      </c>
      <c r="F46" s="2">
        <f>'1040 W4 PLANNER 2021'!J35</f>
        <v>0</v>
      </c>
      <c r="G46" s="2">
        <f>'1040 W4 PLANNER 2021'!K35</f>
        <v>0</v>
      </c>
      <c r="H46" s="2"/>
      <c r="I46" s="2"/>
      <c r="J46" s="2">
        <f>'1040 W4 PLANNER 2021'!N35</f>
        <v>0</v>
      </c>
      <c r="K46" s="2"/>
      <c r="L46" s="2"/>
      <c r="M46" s="25">
        <f>'1040 W4 PLANNER 2021'!O35</f>
        <v>0</v>
      </c>
      <c r="N46" s="101"/>
      <c r="O46" s="13">
        <f>M46*E46</f>
        <v>0</v>
      </c>
      <c r="P46" s="13" t="s">
        <v>44</v>
      </c>
      <c r="Q46" s="14">
        <f t="shared" si="78"/>
        <v>0</v>
      </c>
      <c r="R46" s="25">
        <f>IF(D46&lt;&gt;0,((Q46)*E46),0)</f>
        <v>0</v>
      </c>
      <c r="S46" s="2"/>
      <c r="T46" s="23">
        <f>IF(B46="T", O46,0)</f>
        <v>0</v>
      </c>
      <c r="U46">
        <f>IF(B46="S", O46,0)</f>
        <v>0</v>
      </c>
    </row>
    <row r="47" spans="1:23" x14ac:dyDescent="0.25">
      <c r="A47">
        <v>4</v>
      </c>
      <c r="B47" s="2">
        <f>'1040 W4 PLANNER 2021'!A36</f>
        <v>0</v>
      </c>
      <c r="C47" s="2" t="str">
        <f>'1040 W4 PLANNER 2021'!B36</f>
        <v>Y</v>
      </c>
      <c r="D47" s="2">
        <f>'1040 W4 PLANNER 2021'!H36</f>
        <v>0</v>
      </c>
      <c r="E47" s="2">
        <f>'1040 W4 PLANNER 2021'!I36</f>
        <v>0</v>
      </c>
      <c r="F47" s="2">
        <f>'1040 W4 PLANNER 2021'!J36</f>
        <v>0</v>
      </c>
      <c r="G47" s="2">
        <f>'1040 W4 PLANNER 2021'!K36</f>
        <v>0</v>
      </c>
      <c r="H47" s="2"/>
      <c r="I47" s="2"/>
      <c r="J47" s="2">
        <f>'1040 W4 PLANNER 2021'!N36</f>
        <v>0</v>
      </c>
      <c r="K47" s="2"/>
      <c r="L47" s="2"/>
      <c r="M47" s="25">
        <f>'1040 W4 PLANNER 2021'!O36</f>
        <v>0</v>
      </c>
      <c r="N47" s="101"/>
      <c r="O47" s="13">
        <f>M47*E47</f>
        <v>0</v>
      </c>
      <c r="P47" s="13" t="s">
        <v>44</v>
      </c>
      <c r="Q47" s="14">
        <f t="shared" si="78"/>
        <v>0</v>
      </c>
      <c r="R47" s="25">
        <f>IF(D47&lt;&gt;0,((Q47)*E47),0)</f>
        <v>0</v>
      </c>
      <c r="S47" s="2"/>
      <c r="T47" s="23">
        <f>IF(B47="T", O47,0)</f>
        <v>0</v>
      </c>
      <c r="U47">
        <f>IF(B47="S", O47,0)</f>
        <v>0</v>
      </c>
    </row>
    <row r="48" spans="1:23" x14ac:dyDescent="0.25">
      <c r="A48">
        <v>5</v>
      </c>
      <c r="B48" s="2">
        <f>'1040 W4 PLANNER 2021'!A37</f>
        <v>0</v>
      </c>
      <c r="C48" s="2" t="str">
        <f>'1040 W4 PLANNER 2021'!B37</f>
        <v>Y</v>
      </c>
      <c r="D48" s="2">
        <f>'1040 W4 PLANNER 2021'!H37</f>
        <v>0</v>
      </c>
      <c r="E48" s="2">
        <f>'1040 W4 PLANNER 2021'!I37</f>
        <v>0</v>
      </c>
      <c r="F48" s="2">
        <f>'1040 W4 PLANNER 2021'!J37</f>
        <v>0</v>
      </c>
      <c r="G48" s="2">
        <f>'1040 W4 PLANNER 2021'!K37</f>
        <v>0</v>
      </c>
      <c r="H48" s="2"/>
      <c r="I48" s="2"/>
      <c r="J48" s="2">
        <f>'1040 W4 PLANNER 2021'!N37</f>
        <v>0</v>
      </c>
      <c r="K48" s="2"/>
      <c r="L48" s="2"/>
      <c r="M48" s="25">
        <f>'1040 W4 PLANNER 2021'!O37</f>
        <v>0</v>
      </c>
      <c r="N48" s="101"/>
      <c r="O48" s="13">
        <f>M48*E48</f>
        <v>0</v>
      </c>
      <c r="P48" s="13" t="s">
        <v>44</v>
      </c>
      <c r="Q48" s="14">
        <f t="shared" si="78"/>
        <v>0</v>
      </c>
      <c r="R48" s="25">
        <f>IF(D48&lt;&gt;0,((Q48)*E48),0)</f>
        <v>0</v>
      </c>
      <c r="S48" s="2"/>
      <c r="T48" s="23">
        <f>IF(B48="T", O48,0)</f>
        <v>0</v>
      </c>
      <c r="U48">
        <f>IF(B48="S", O48,0)</f>
        <v>0</v>
      </c>
    </row>
    <row r="49" spans="1:22" x14ac:dyDescent="0.25">
      <c r="R49" s="19">
        <f>SUM(R44:R48)</f>
        <v>0</v>
      </c>
      <c r="T49" s="19">
        <f>SUM(T44:T48)</f>
        <v>0</v>
      </c>
      <c r="U49" s="19">
        <f>SUM(U44:U48)</f>
        <v>0</v>
      </c>
    </row>
    <row r="51" spans="1:22" ht="45" x14ac:dyDescent="0.25">
      <c r="A51" s="34" t="s">
        <v>92</v>
      </c>
      <c r="D51" t="s">
        <v>47</v>
      </c>
      <c r="E51" s="26" t="s">
        <v>48</v>
      </c>
      <c r="F51" s="26" t="s">
        <v>302</v>
      </c>
      <c r="G51" s="34" t="s">
        <v>303</v>
      </c>
      <c r="H51" s="102" t="s">
        <v>305</v>
      </c>
      <c r="I51" s="102" t="s">
        <v>306</v>
      </c>
      <c r="J51" t="s">
        <v>12</v>
      </c>
      <c r="K51" s="103" t="s">
        <v>307</v>
      </c>
      <c r="L51" t="s">
        <v>308</v>
      </c>
      <c r="M51" s="26" t="s">
        <v>309</v>
      </c>
      <c r="N51" s="26" t="s">
        <v>310</v>
      </c>
      <c r="O51" s="26" t="s">
        <v>311</v>
      </c>
      <c r="P51" s="150" t="s">
        <v>312</v>
      </c>
      <c r="Q51" s="26" t="s">
        <v>313</v>
      </c>
      <c r="R51" s="150" t="s">
        <v>401</v>
      </c>
    </row>
    <row r="52" spans="1:22" x14ac:dyDescent="0.25">
      <c r="A52">
        <v>1</v>
      </c>
      <c r="B52" s="6" t="str">
        <f>B44</f>
        <v>T</v>
      </c>
      <c r="C52" s="6" t="str">
        <f>C44</f>
        <v>Y</v>
      </c>
      <c r="D52">
        <f t="shared" ref="D52:E52" si="79">D44</f>
        <v>0</v>
      </c>
      <c r="E52">
        <f t="shared" si="79"/>
        <v>0</v>
      </c>
      <c r="F52" s="19">
        <f>D44*M44</f>
        <v>0</v>
      </c>
      <c r="G52">
        <f>G44</f>
        <v>0</v>
      </c>
      <c r="H52">
        <f>H44</f>
        <v>0</v>
      </c>
      <c r="I52">
        <f>I44</f>
        <v>0</v>
      </c>
      <c r="J52">
        <f>'1040 W4 PLANNER 2021'!N33</f>
        <v>0</v>
      </c>
      <c r="K52">
        <f>IF(C52="N",8600,0)</f>
        <v>0</v>
      </c>
      <c r="L52" s="19">
        <f t="shared" ref="L52:L62" si="80">F52+H52-I52-K52</f>
        <v>0</v>
      </c>
      <c r="M52" s="36">
        <f>IF(L52&lt;6275,0,IF(L52&lt;11250,(L52-6275)*0.1,IF(L52&lt;26538,(L52-11250)*0.12+497.5,IF(L52&lt;49463,(L52-26538)*0.22+2332,IF(L52&lt;88738,(L52-49463)*0.24+7375.5,IF(L52&lt;110988,(L52-88738)*0.32+16801.5,IF(L52&lt;268075,(L52-110988)*0.35+23921.5,(L52-268075)*0.37+78902.13)))))))</f>
        <v>0</v>
      </c>
      <c r="N52" s="36">
        <f>IF(L52&lt;3950,0,IF(L52&lt;13900,(L52-3950)*0.1,IF(L52&lt;44475,(L52-13900)*0.12+995,IF(L52&lt;90325,(L52-44475)*0.22+4664,IF(L52&lt;168875,(L52-90325)*0.24+14751,IF(L52&lt;213375,(L52-168875)*0.32+33603,IF(L52&lt;527500,(L52-213375)*0.35+47843,(L52-527550)*0.37+157804.25)))))))</f>
        <v>0</v>
      </c>
      <c r="O52" s="20">
        <f>IF(C52="Y",M52,N52)</f>
        <v>0</v>
      </c>
      <c r="P52" s="20">
        <f t="shared" ref="P52:P56" si="81">IF(D52&lt;&gt;0,(((O52-G52)/D52)+J52),0)</f>
        <v>0</v>
      </c>
      <c r="Q52" s="20">
        <f>P52*E52</f>
        <v>0</v>
      </c>
      <c r="R52" s="20">
        <f>IF(P52&lt;0,0,P52)</f>
        <v>0</v>
      </c>
      <c r="T52" t="s">
        <v>40</v>
      </c>
      <c r="U52" s="36">
        <f>IF(O52&lt;3800,0,IF(O52&lt;13500,(O52-3800)*0.1,IF(O52&lt;43275,(O52-13500)*0.12+970,IF(O52&lt;88000,(O52-43275)*0.22+4543,IF(O52&lt;164525,(O52-88000)*0.24+14382.5,IF(O52&lt;207900,(O52-164525)*0.32+32748.5,IF(O52&lt;514100,(O52-207900)*0.35+46628.5,(O52-514100)*0.37+153798.5)))))))</f>
        <v>0</v>
      </c>
      <c r="V52">
        <f>IF(O52&gt;420700,O52*0.396+121505.25,0)</f>
        <v>0</v>
      </c>
    </row>
    <row r="53" spans="1:22" x14ac:dyDescent="0.25">
      <c r="A53">
        <v>2</v>
      </c>
      <c r="B53" s="6">
        <f t="shared" ref="B53:I53" si="82">B45</f>
        <v>0</v>
      </c>
      <c r="C53" s="6" t="str">
        <f t="shared" si="82"/>
        <v>Y</v>
      </c>
      <c r="D53">
        <f t="shared" si="82"/>
        <v>0</v>
      </c>
      <c r="E53">
        <f t="shared" si="82"/>
        <v>0</v>
      </c>
      <c r="F53" s="19">
        <f t="shared" ref="F53:F56" si="83">D45*M45</f>
        <v>0</v>
      </c>
      <c r="G53">
        <f t="shared" si="82"/>
        <v>0</v>
      </c>
      <c r="H53">
        <f t="shared" si="82"/>
        <v>0</v>
      </c>
      <c r="I53">
        <f t="shared" si="82"/>
        <v>0</v>
      </c>
      <c r="J53">
        <f>'1040 W4 PLANNER 2021'!N34</f>
        <v>0</v>
      </c>
      <c r="K53">
        <f t="shared" ref="K53:K56" si="84">IF(C53="N",8600,0)</f>
        <v>0</v>
      </c>
      <c r="L53" s="19">
        <f t="shared" ref="L53:L56" si="85">F53+H53-I53-K53</f>
        <v>0</v>
      </c>
      <c r="M53" s="36">
        <f t="shared" ref="M53:M56" si="86">IF(L53&lt;6275,0,IF(L53&lt;11250,(L53-6275)*0.1,IF(L53&lt;26538,(L53-11250)*0.12+497.5,IF(L53&lt;49463,(L53-26538)*0.22+2332,IF(L53&lt;88738,(L53-49463)*0.24+7375.5,IF(L53&lt;110988,(L53-88738)*0.32+16801.5,IF(L53&lt;268075,(L53-110988)*0.35+23921.5,(L53-268075)*0.37+78902.13)))))))</f>
        <v>0</v>
      </c>
      <c r="N53" s="36">
        <f t="shared" ref="N53:N56" si="87">IF(L53&lt;3950,0,IF(L53&lt;13900,(L53-3950)*0.1,IF(L53&lt;44475,(L53-13900)*0.12+995,IF(L53&lt;90325,(L53-44475)*0.22+4664,IF(L53&lt;168875,(L53-90325)*0.24+14751,IF(L53&lt;213375,(L53-168875)*0.32+33603,IF(L53&lt;527500,(L53-213375)*0.35+47843,(L53-527550)*0.37+157804.25)))))))</f>
        <v>0</v>
      </c>
      <c r="O53" s="20">
        <f t="shared" ref="O53:O56" si="88">IF(C53="Y",M53,N53)</f>
        <v>0</v>
      </c>
      <c r="P53" s="20">
        <f t="shared" si="81"/>
        <v>0</v>
      </c>
      <c r="Q53" s="20">
        <f t="shared" ref="Q53:Q56" si="89">P53*E53</f>
        <v>0</v>
      </c>
      <c r="R53" s="20">
        <f t="shared" ref="R53:R56" si="90">IF(P53&lt;0,0,P53)</f>
        <v>0</v>
      </c>
      <c r="T53" t="s">
        <v>40</v>
      </c>
      <c r="U53" s="36">
        <f t="shared" ref="U53:U56" si="91">IF(O53&lt;3800,0,IF(O53&lt;13500,(O53-3800)*0.1,IF(O53&lt;43275,(O53-13500)*0.12+970,IF(O53&lt;88000,(O53-43275)*0.22+4543,IF(O53&lt;164525,(O53-88000)*0.24+14382.5,IF(O53&lt;207900,(O53-164525)*0.32+32748.5,IF(O53&lt;514100,(O53-207900)*0.35+46628.5,(O53-514100)*0.37+153798.5)))))))</f>
        <v>0</v>
      </c>
      <c r="V53">
        <f>IF(O53&gt;420700,O53*0.396+121505.25,0)</f>
        <v>0</v>
      </c>
    </row>
    <row r="54" spans="1:22" x14ac:dyDescent="0.25">
      <c r="A54">
        <v>3</v>
      </c>
      <c r="B54" s="6">
        <f t="shared" ref="B54:I54" si="92">B46</f>
        <v>0</v>
      </c>
      <c r="C54" s="6" t="str">
        <f t="shared" si="92"/>
        <v>Y</v>
      </c>
      <c r="D54">
        <f t="shared" si="92"/>
        <v>0</v>
      </c>
      <c r="E54">
        <f t="shared" si="92"/>
        <v>0</v>
      </c>
      <c r="F54" s="19">
        <f t="shared" si="83"/>
        <v>0</v>
      </c>
      <c r="G54">
        <f t="shared" si="92"/>
        <v>0</v>
      </c>
      <c r="H54">
        <f t="shared" si="92"/>
        <v>0</v>
      </c>
      <c r="I54">
        <f t="shared" si="92"/>
        <v>0</v>
      </c>
      <c r="J54">
        <f>'1040 W4 PLANNER 2021'!N35</f>
        <v>0</v>
      </c>
      <c r="K54">
        <f t="shared" si="84"/>
        <v>0</v>
      </c>
      <c r="L54" s="19">
        <f t="shared" si="85"/>
        <v>0</v>
      </c>
      <c r="M54" s="36">
        <f t="shared" si="86"/>
        <v>0</v>
      </c>
      <c r="N54" s="36">
        <f t="shared" si="87"/>
        <v>0</v>
      </c>
      <c r="O54" s="20">
        <f t="shared" si="88"/>
        <v>0</v>
      </c>
      <c r="P54" s="20">
        <f t="shared" si="81"/>
        <v>0</v>
      </c>
      <c r="Q54" s="20">
        <f t="shared" si="89"/>
        <v>0</v>
      </c>
      <c r="R54" s="20">
        <f t="shared" si="90"/>
        <v>0</v>
      </c>
      <c r="T54" t="s">
        <v>40</v>
      </c>
      <c r="U54" s="36">
        <f t="shared" si="91"/>
        <v>0</v>
      </c>
      <c r="V54">
        <f>IF(O54&gt;420700,O54*0.396+121505.25,0)</f>
        <v>0</v>
      </c>
    </row>
    <row r="55" spans="1:22" x14ac:dyDescent="0.25">
      <c r="A55">
        <v>4</v>
      </c>
      <c r="B55" s="6">
        <f t="shared" ref="B55:I55" si="93">B47</f>
        <v>0</v>
      </c>
      <c r="C55" s="6" t="str">
        <f t="shared" si="93"/>
        <v>Y</v>
      </c>
      <c r="D55">
        <f t="shared" si="93"/>
        <v>0</v>
      </c>
      <c r="E55">
        <f t="shared" si="93"/>
        <v>0</v>
      </c>
      <c r="F55" s="19">
        <f t="shared" si="83"/>
        <v>0</v>
      </c>
      <c r="G55">
        <f t="shared" si="93"/>
        <v>0</v>
      </c>
      <c r="H55">
        <f t="shared" si="93"/>
        <v>0</v>
      </c>
      <c r="I55">
        <f t="shared" si="93"/>
        <v>0</v>
      </c>
      <c r="J55">
        <f>'1040 W4 PLANNER 2021'!N36</f>
        <v>0</v>
      </c>
      <c r="K55">
        <f t="shared" si="84"/>
        <v>0</v>
      </c>
      <c r="L55" s="19">
        <f t="shared" si="85"/>
        <v>0</v>
      </c>
      <c r="M55" s="36">
        <f t="shared" si="86"/>
        <v>0</v>
      </c>
      <c r="N55" s="36">
        <f t="shared" si="87"/>
        <v>0</v>
      </c>
      <c r="O55" s="20">
        <f t="shared" si="88"/>
        <v>0</v>
      </c>
      <c r="P55" s="20">
        <f t="shared" si="81"/>
        <v>0</v>
      </c>
      <c r="Q55" s="20">
        <f t="shared" si="89"/>
        <v>0</v>
      </c>
      <c r="R55" s="20">
        <f t="shared" si="90"/>
        <v>0</v>
      </c>
      <c r="T55" t="s">
        <v>40</v>
      </c>
      <c r="U55" s="36">
        <f t="shared" si="91"/>
        <v>0</v>
      </c>
      <c r="V55">
        <f>IF(O55&gt;420700,O55*0.396+121505.25,0)</f>
        <v>0</v>
      </c>
    </row>
    <row r="56" spans="1:22" x14ac:dyDescent="0.25">
      <c r="A56">
        <v>5</v>
      </c>
      <c r="B56" s="6">
        <f t="shared" ref="B56:I56" si="94">B48</f>
        <v>0</v>
      </c>
      <c r="C56" s="6" t="str">
        <f t="shared" si="94"/>
        <v>Y</v>
      </c>
      <c r="D56">
        <f t="shared" si="94"/>
        <v>0</v>
      </c>
      <c r="E56">
        <f t="shared" si="94"/>
        <v>0</v>
      </c>
      <c r="F56" s="19">
        <f t="shared" si="83"/>
        <v>0</v>
      </c>
      <c r="G56">
        <f t="shared" si="94"/>
        <v>0</v>
      </c>
      <c r="H56">
        <f t="shared" si="94"/>
        <v>0</v>
      </c>
      <c r="I56">
        <f t="shared" si="94"/>
        <v>0</v>
      </c>
      <c r="J56">
        <f>'1040 W4 PLANNER 2021'!N37</f>
        <v>0</v>
      </c>
      <c r="K56">
        <f t="shared" si="84"/>
        <v>0</v>
      </c>
      <c r="L56" s="19">
        <f t="shared" si="85"/>
        <v>0</v>
      </c>
      <c r="M56" s="36">
        <f t="shared" si="86"/>
        <v>0</v>
      </c>
      <c r="N56" s="36">
        <f t="shared" si="87"/>
        <v>0</v>
      </c>
      <c r="O56" s="20">
        <f t="shared" si="88"/>
        <v>0</v>
      </c>
      <c r="P56" s="20">
        <f t="shared" si="81"/>
        <v>0</v>
      </c>
      <c r="Q56" s="20">
        <f t="shared" si="89"/>
        <v>0</v>
      </c>
      <c r="R56" s="20">
        <f t="shared" si="90"/>
        <v>0</v>
      </c>
      <c r="T56" t="s">
        <v>40</v>
      </c>
      <c r="U56" s="36">
        <f t="shared" si="91"/>
        <v>0</v>
      </c>
      <c r="V56">
        <f>IF(O56&gt;420700,O56*0.396+121505.25,0)</f>
        <v>0</v>
      </c>
    </row>
    <row r="57" spans="1:22" x14ac:dyDescent="0.25">
      <c r="A57" s="34" t="s">
        <v>96</v>
      </c>
    </row>
    <row r="58" spans="1:22" x14ac:dyDescent="0.25">
      <c r="A58">
        <v>1</v>
      </c>
      <c r="B58" s="6" t="str">
        <f t="shared" ref="B58:B62" si="95">B44</f>
        <v>T</v>
      </c>
      <c r="C58" s="6" t="str">
        <f>C44</f>
        <v>Y</v>
      </c>
      <c r="D58">
        <f t="shared" ref="D58:E62" si="96">D44</f>
        <v>0</v>
      </c>
      <c r="E58">
        <f t="shared" si="96"/>
        <v>0</v>
      </c>
      <c r="F58" s="19">
        <f>D44*M44</f>
        <v>0</v>
      </c>
      <c r="G58">
        <f>G44</f>
        <v>0</v>
      </c>
      <c r="H58">
        <f>H44</f>
        <v>0</v>
      </c>
      <c r="I58">
        <f>I44</f>
        <v>0</v>
      </c>
      <c r="J58">
        <f>'1040 W4 PLANNER 2021'!N33</f>
        <v>0</v>
      </c>
      <c r="K58">
        <f>IF(C58="N",12900,0)</f>
        <v>0</v>
      </c>
      <c r="L58" s="19">
        <f t="shared" si="80"/>
        <v>0</v>
      </c>
      <c r="M58" s="36">
        <f>IF(L58&lt;12550,0,IF(L58&lt;22500,(L58-12550)*0.1,IF(L58&lt;53075,(L58-22500)*0.12+995,IF(L58&lt;98925,(L58-53075)*0.22+4664,IF(L58&lt;177476,(L58-98925)*0.24+14751,IF(L58&lt;221975,(L58-177475)*0.32+33603,IF(L58&lt;326700,(L58-221975)*0.35+47843,(L58-326700)*0.37+84496.75)))))))</f>
        <v>0</v>
      </c>
      <c r="N58" s="36">
        <f>IF(L58&lt;12200,0,IF(L58&lt;32100,(L58-12200)*0.1,IF(L58&lt;93250,(L58-32200)*0.12+1990,IF(L58&lt;184950,(L58-93250)*0.22+9328,IF(L58&lt;342050,(L58-184950)*0.24+29502,IF(L58&lt;431050,(L58-342050)*0.32+67206,IF(L58&lt;640500,(L58-431050)*0.35+95686,(L58-640500)*0.37+168993.5)))))))</f>
        <v>0</v>
      </c>
      <c r="O58" s="20">
        <f>IF(C58="Y",M58,N58)</f>
        <v>0</v>
      </c>
      <c r="P58" s="20">
        <f t="shared" ref="P58:P62" si="97">IF(D58&lt;&gt;0,(((O58-G58)/D58)+J58),0)</f>
        <v>0</v>
      </c>
      <c r="Q58" s="20">
        <f>P58*E58</f>
        <v>0</v>
      </c>
      <c r="R58" s="20">
        <f t="shared" ref="R58:R62" si="98">IF(P58&lt;0,0,P58)</f>
        <v>0</v>
      </c>
      <c r="T58" t="s">
        <v>41</v>
      </c>
      <c r="U58" s="36">
        <f>IF(O52&lt;11800,0,IF(O52&lt;31200,(O52-11800)*0.1,IF(O52&lt;90750,(O52-31200)*0.12+1940,IF(O52&lt;180200,(O52-90750)*0.22+9086,IF(O52&lt;333250,(O52-180200)*0.24+28765,IF(O52&lt;420000,(O52-333250)*0.32+65497,IF(O52&lt;624150,(O52-420000)*0.35+93257,(O52-624150)*0.37+164709.5)))))))</f>
        <v>0</v>
      </c>
      <c r="V58">
        <f>IF(O52&gt;479350,O52*0.396+131628,0)</f>
        <v>0</v>
      </c>
    </row>
    <row r="59" spans="1:22" x14ac:dyDescent="0.25">
      <c r="A59">
        <v>2</v>
      </c>
      <c r="B59" s="6">
        <f t="shared" si="95"/>
        <v>0</v>
      </c>
      <c r="C59" s="6" t="str">
        <f t="shared" ref="C59:C62" si="99">C45</f>
        <v>Y</v>
      </c>
      <c r="D59">
        <f t="shared" si="96"/>
        <v>0</v>
      </c>
      <c r="E59">
        <f t="shared" si="96"/>
        <v>0</v>
      </c>
      <c r="F59" s="19">
        <f t="shared" ref="F59:F62" si="100">D45*M45</f>
        <v>0</v>
      </c>
      <c r="G59">
        <f t="shared" ref="G59:G62" si="101">G45</f>
        <v>0</v>
      </c>
      <c r="H59">
        <f t="shared" ref="H59:I59" si="102">H45</f>
        <v>0</v>
      </c>
      <c r="I59">
        <f t="shared" si="102"/>
        <v>0</v>
      </c>
      <c r="J59">
        <f>'1040 W4 PLANNER 2021'!N34</f>
        <v>0</v>
      </c>
      <c r="K59">
        <f t="shared" ref="K59:K62" si="103">IF(C59="N",12900,0)</f>
        <v>0</v>
      </c>
      <c r="L59" s="19">
        <f t="shared" si="80"/>
        <v>0</v>
      </c>
      <c r="M59" s="36">
        <f t="shared" ref="M59:M62" si="104">IF(L59&lt;12550,0,IF(L59&lt;22500,(L59-12550)*0.1,IF(L59&lt;53075,(L59-22500)*0.12+995,IF(L59&lt;98925,(L59-53075)*0.22+4664,IF(L59&lt;177476,(L59-98925)*0.24+14751,IF(L59&lt;221975,(L59-177475)*0.32+33603,IF(L59&lt;326700,(L59-221975)*0.35+47843,(L59-326700)*0.37+84496.75)))))))</f>
        <v>0</v>
      </c>
      <c r="N59" s="36">
        <f t="shared" ref="N59:N62" si="105">IF(L59&lt;12200,0,IF(L59&lt;32100,(L59-12200)*0.1,IF(L59&lt;93250,(L59-32200)*0.12+1990,IF(L59&lt;184950,(L59-93250)*0.22+9328,IF(L59&lt;342050,(L59-184950)*0.24+29502,IF(L59&lt;431050,(L59-342050)*0.32+67206,IF(L59&lt;640500,(L59-431050)*0.35+95686,(L59-640500)*0.37+168993.5)))))))</f>
        <v>0</v>
      </c>
      <c r="O59" s="20">
        <f t="shared" ref="O59:O62" si="106">IF(C59="Y",M59,N59)</f>
        <v>0</v>
      </c>
      <c r="P59" s="20">
        <f t="shared" si="97"/>
        <v>0</v>
      </c>
      <c r="Q59" s="20">
        <f t="shared" ref="Q59:Q62" si="107">P59*E59</f>
        <v>0</v>
      </c>
      <c r="R59" s="20">
        <f t="shared" si="98"/>
        <v>0</v>
      </c>
      <c r="T59" t="s">
        <v>41</v>
      </c>
      <c r="U59" s="36">
        <f t="shared" ref="U59:U62" si="108">IF(O53&lt;11800,0,IF(O53&lt;31200,(O53-11800)*0.1,IF(O53&lt;90750,(O53-31200)*0.12+1940,IF(O53&lt;180200,(O53-90750)*0.22+9086,IF(O53&lt;333250,(O53-180200)*0.24+28765,IF(O53&lt;420000,(O53-333250)*0.32+65497,IF(O53&lt;624150,(O53-420000)*0.35+93257,(O53-624150)*0.37+164709.5)))))))</f>
        <v>0</v>
      </c>
      <c r="V59">
        <f>IF(O53&gt;479350,O53*0.396+131628,0)</f>
        <v>0</v>
      </c>
    </row>
    <row r="60" spans="1:22" x14ac:dyDescent="0.25">
      <c r="A60">
        <v>3</v>
      </c>
      <c r="B60" s="6">
        <f t="shared" si="95"/>
        <v>0</v>
      </c>
      <c r="C60" s="6" t="str">
        <f t="shared" si="99"/>
        <v>Y</v>
      </c>
      <c r="D60">
        <f t="shared" si="96"/>
        <v>0</v>
      </c>
      <c r="E60">
        <f t="shared" si="96"/>
        <v>0</v>
      </c>
      <c r="F60" s="19">
        <f t="shared" si="100"/>
        <v>0</v>
      </c>
      <c r="G60">
        <f t="shared" si="101"/>
        <v>0</v>
      </c>
      <c r="H60">
        <f t="shared" ref="H60:I60" si="109">H46</f>
        <v>0</v>
      </c>
      <c r="I60">
        <f t="shared" si="109"/>
        <v>0</v>
      </c>
      <c r="J60">
        <f>'1040 W4 PLANNER 2021'!N35</f>
        <v>0</v>
      </c>
      <c r="K60">
        <f t="shared" si="103"/>
        <v>0</v>
      </c>
      <c r="L60" s="19">
        <f t="shared" si="80"/>
        <v>0</v>
      </c>
      <c r="M60" s="36">
        <f t="shared" si="104"/>
        <v>0</v>
      </c>
      <c r="N60" s="36">
        <f t="shared" si="105"/>
        <v>0</v>
      </c>
      <c r="O60" s="20">
        <f t="shared" si="106"/>
        <v>0</v>
      </c>
      <c r="P60" s="20">
        <f t="shared" si="97"/>
        <v>0</v>
      </c>
      <c r="Q60" s="20">
        <f t="shared" si="107"/>
        <v>0</v>
      </c>
      <c r="R60" s="20">
        <f t="shared" si="98"/>
        <v>0</v>
      </c>
      <c r="T60" t="s">
        <v>41</v>
      </c>
      <c r="U60" s="36">
        <f t="shared" si="108"/>
        <v>0</v>
      </c>
      <c r="V60">
        <f>IF(O54&gt;479350,O54*0.396+131628,0)</f>
        <v>0</v>
      </c>
    </row>
    <row r="61" spans="1:22" x14ac:dyDescent="0.25">
      <c r="A61">
        <v>4</v>
      </c>
      <c r="B61" s="6">
        <f t="shared" si="95"/>
        <v>0</v>
      </c>
      <c r="C61" s="6" t="str">
        <f t="shared" si="99"/>
        <v>Y</v>
      </c>
      <c r="D61">
        <f t="shared" si="96"/>
        <v>0</v>
      </c>
      <c r="E61">
        <f t="shared" si="96"/>
        <v>0</v>
      </c>
      <c r="F61" s="19">
        <f t="shared" si="100"/>
        <v>0</v>
      </c>
      <c r="G61">
        <f t="shared" si="101"/>
        <v>0</v>
      </c>
      <c r="H61">
        <f t="shared" ref="H61:I61" si="110">H47</f>
        <v>0</v>
      </c>
      <c r="I61">
        <f t="shared" si="110"/>
        <v>0</v>
      </c>
      <c r="J61">
        <f>'1040 W4 PLANNER 2021'!N36</f>
        <v>0</v>
      </c>
      <c r="K61">
        <f t="shared" si="103"/>
        <v>0</v>
      </c>
      <c r="L61" s="19">
        <f t="shared" si="80"/>
        <v>0</v>
      </c>
      <c r="M61" s="36">
        <f t="shared" si="104"/>
        <v>0</v>
      </c>
      <c r="N61" s="36">
        <f t="shared" si="105"/>
        <v>0</v>
      </c>
      <c r="O61" s="20">
        <f t="shared" si="106"/>
        <v>0</v>
      </c>
      <c r="P61" s="20">
        <f t="shared" si="97"/>
        <v>0</v>
      </c>
      <c r="Q61" s="20">
        <f t="shared" si="107"/>
        <v>0</v>
      </c>
      <c r="R61" s="20">
        <f t="shared" si="98"/>
        <v>0</v>
      </c>
      <c r="T61" t="s">
        <v>41</v>
      </c>
      <c r="U61" s="36">
        <f t="shared" si="108"/>
        <v>0</v>
      </c>
      <c r="V61">
        <f>IF(O55&gt;479350,O55*0.396+131628,0)</f>
        <v>0</v>
      </c>
    </row>
    <row r="62" spans="1:22" x14ac:dyDescent="0.25">
      <c r="A62">
        <v>5</v>
      </c>
      <c r="B62" s="6">
        <f t="shared" si="95"/>
        <v>0</v>
      </c>
      <c r="C62" s="6" t="str">
        <f t="shared" si="99"/>
        <v>Y</v>
      </c>
      <c r="D62">
        <f t="shared" si="96"/>
        <v>0</v>
      </c>
      <c r="E62">
        <f t="shared" si="96"/>
        <v>0</v>
      </c>
      <c r="F62" s="19">
        <f t="shared" si="100"/>
        <v>0</v>
      </c>
      <c r="G62">
        <f t="shared" si="101"/>
        <v>0</v>
      </c>
      <c r="H62">
        <f t="shared" ref="H62:I62" si="111">H48</f>
        <v>0</v>
      </c>
      <c r="I62">
        <f t="shared" si="111"/>
        <v>0</v>
      </c>
      <c r="J62">
        <f>'1040 W4 PLANNER 2021'!N37</f>
        <v>0</v>
      </c>
      <c r="K62">
        <f t="shared" si="103"/>
        <v>0</v>
      </c>
      <c r="L62" s="19">
        <f t="shared" si="80"/>
        <v>0</v>
      </c>
      <c r="M62" s="36">
        <f t="shared" si="104"/>
        <v>0</v>
      </c>
      <c r="N62" s="36">
        <f t="shared" si="105"/>
        <v>0</v>
      </c>
      <c r="O62" s="20">
        <f t="shared" si="106"/>
        <v>0</v>
      </c>
      <c r="P62" s="20">
        <f t="shared" si="97"/>
        <v>0</v>
      </c>
      <c r="Q62" s="20">
        <f t="shared" si="107"/>
        <v>0</v>
      </c>
      <c r="R62" s="20">
        <f t="shared" si="98"/>
        <v>0</v>
      </c>
      <c r="T62" t="s">
        <v>41</v>
      </c>
      <c r="U62" s="36">
        <f t="shared" si="108"/>
        <v>0</v>
      </c>
      <c r="V62">
        <f>IF(O56&gt;479350,O56*0.396+131628,0)</f>
        <v>0</v>
      </c>
    </row>
    <row r="63" spans="1:22" x14ac:dyDescent="0.25">
      <c r="A63" s="34" t="s">
        <v>98</v>
      </c>
    </row>
    <row r="64" spans="1:22" x14ac:dyDescent="0.25">
      <c r="A64">
        <v>1</v>
      </c>
      <c r="B64" s="6" t="str">
        <f>B44</f>
        <v>T</v>
      </c>
      <c r="C64" s="6" t="str">
        <f>C44</f>
        <v>Y</v>
      </c>
      <c r="D64" s="6">
        <f t="shared" ref="D64:E65" si="112">D44</f>
        <v>0</v>
      </c>
      <c r="E64" s="6">
        <f t="shared" si="112"/>
        <v>0</v>
      </c>
      <c r="F64" s="19">
        <f>D44*M44</f>
        <v>0</v>
      </c>
      <c r="G64">
        <f t="shared" ref="G64:I65" si="113">G44</f>
        <v>0</v>
      </c>
      <c r="H64">
        <f t="shared" si="113"/>
        <v>0</v>
      </c>
      <c r="I64">
        <f t="shared" si="113"/>
        <v>0</v>
      </c>
      <c r="J64">
        <f>'1040 W4 PLANNER 2021'!N39</f>
        <v>0</v>
      </c>
      <c r="K64">
        <f t="shared" ref="K64:K68" si="114">IF(C64="N",8600,0)</f>
        <v>0</v>
      </c>
      <c r="L64" s="19">
        <f t="shared" ref="L64:L65" si="115">F64+H64-I64-K64</f>
        <v>0</v>
      </c>
      <c r="M64" s="36">
        <f>IF(L64&lt;9400,0,IF(L64&lt;16650,(L64-9400)*0.1,IF(L64&lt;36500,(L64-16650)*0.12+710,IF(L64&lt;52575,(L64-36500)*0.22+3110,IF(L64&lt;91850,(L64-52575)*0.24+6646.5,IF(L64&lt;114100,(L64-91850)*0.32+16072.5,IF(L64&lt;271200,(L64-114100)*0.35+23192.5,(L64-271200)*0.37+78177.5)))))))</f>
        <v>0</v>
      </c>
      <c r="N64" s="36">
        <f>IF(L64&lt;10200,0,IF(L64&lt;24400,(L64-10200)*0.1,IF(L64&lt;64400,(L64-24400)*0.12+1420,IF(L64&lt;96550,(L64-64400)*0.22+6220,IF(L64&lt;175100,(L64-96550)*0.24+13293,IF(L64&lt;219600,(L64-175100)*0.32+32145,IF(L64&lt;533800,(L64-219600)*0.35+46385,(L64-533800)*0.37+156355)))))))</f>
        <v>0</v>
      </c>
      <c r="O64" s="20">
        <f>IF(C64="Y",M64,N64)</f>
        <v>0</v>
      </c>
      <c r="P64" s="20">
        <f t="shared" ref="P64:P68" si="116">IF(D64&lt;&gt;0,(((O64-G64)/D64)+J64),0)</f>
        <v>0</v>
      </c>
      <c r="Q64" s="20">
        <f>P64*E64</f>
        <v>0</v>
      </c>
      <c r="R64" s="20">
        <f t="shared" ref="R64:R68" si="117">IF(P64&lt;0,0,P64)</f>
        <v>0</v>
      </c>
    </row>
    <row r="65" spans="1:18" x14ac:dyDescent="0.25">
      <c r="A65">
        <v>2</v>
      </c>
      <c r="B65" s="6">
        <f>B45</f>
        <v>0</v>
      </c>
      <c r="C65" s="6" t="str">
        <f>C45</f>
        <v>Y</v>
      </c>
      <c r="D65" s="6">
        <f t="shared" si="112"/>
        <v>0</v>
      </c>
      <c r="E65" s="6">
        <f t="shared" si="112"/>
        <v>0</v>
      </c>
      <c r="F65" s="19">
        <f>D45*M45</f>
        <v>0</v>
      </c>
      <c r="G65">
        <f t="shared" si="113"/>
        <v>0</v>
      </c>
      <c r="H65">
        <f t="shared" si="113"/>
        <v>0</v>
      </c>
      <c r="I65">
        <f t="shared" si="113"/>
        <v>0</v>
      </c>
      <c r="J65">
        <f>'1040 W4 PLANNER 2021'!N40</f>
        <v>0</v>
      </c>
      <c r="K65">
        <f t="shared" si="114"/>
        <v>0</v>
      </c>
      <c r="L65" s="19">
        <f t="shared" si="115"/>
        <v>0</v>
      </c>
      <c r="M65" s="36">
        <f t="shared" ref="M65:M68" si="118">IF(L65&lt;9400,0,IF(L65&lt;16650,(L65-9400)*0.1,IF(L65&lt;36500,(L65-16650)*0.12+710,IF(L65&lt;52575,(L65-36500)*0.22+3110,IF(L65&lt;91850,(L65-52575)*0.24+6646.5,IF(L65&lt;114100,(L65-91850)*0.32+16072.5,IF(L65&lt;271200,(L65-114100)*0.35+23192.5,(L65-271200)*0.37+78177.5)))))))</f>
        <v>0</v>
      </c>
      <c r="N65" s="36">
        <f t="shared" ref="N65:N68" si="119">IF(L65&lt;10200,0,IF(L65&lt;24400,(L65-10200)*0.1,IF(L65&lt;64400,(L65-24400)*0.12+1420,IF(L65&lt;96550,(L65-64400)*0.22+6220,IF(L65&lt;175100,(L65-96550)*0.24+13293,IF(L65&lt;219600,(L65-175100)*0.32+32145,IF(L65&lt;533800,(L65-219600)*0.35+46385,(L65-533800)*0.37+156355)))))))</f>
        <v>0</v>
      </c>
      <c r="O65" s="20">
        <f t="shared" ref="O65:O68" si="120">IF(C65="Y",M65,N65)</f>
        <v>0</v>
      </c>
      <c r="P65" s="20">
        <f t="shared" si="116"/>
        <v>0</v>
      </c>
      <c r="Q65" s="20">
        <f t="shared" ref="Q65:Q68" si="121">P65*E65</f>
        <v>0</v>
      </c>
      <c r="R65" s="20">
        <f t="shared" si="117"/>
        <v>0</v>
      </c>
    </row>
    <row r="66" spans="1:18" x14ac:dyDescent="0.25">
      <c r="A66">
        <v>3</v>
      </c>
      <c r="B66" s="6">
        <f t="shared" ref="B66:E66" si="122">B46</f>
        <v>0</v>
      </c>
      <c r="C66" s="6" t="str">
        <f t="shared" si="122"/>
        <v>Y</v>
      </c>
      <c r="D66" s="6">
        <f t="shared" si="122"/>
        <v>0</v>
      </c>
      <c r="E66" s="6">
        <f t="shared" si="122"/>
        <v>0</v>
      </c>
      <c r="F66" s="19">
        <f t="shared" ref="F66:F68" si="123">D46*M46</f>
        <v>0</v>
      </c>
      <c r="G66">
        <f t="shared" ref="G66:I66" si="124">G46</f>
        <v>0</v>
      </c>
      <c r="H66">
        <f t="shared" si="124"/>
        <v>0</v>
      </c>
      <c r="I66">
        <f t="shared" si="124"/>
        <v>0</v>
      </c>
      <c r="J66">
        <f>'1040 W4 PLANNER 2021'!N41</f>
        <v>0</v>
      </c>
      <c r="K66">
        <f t="shared" si="114"/>
        <v>0</v>
      </c>
      <c r="L66" s="19">
        <f t="shared" ref="L66:L68" si="125">F66+H66-I66-K66</f>
        <v>0</v>
      </c>
      <c r="M66" s="36">
        <f t="shared" si="118"/>
        <v>0</v>
      </c>
      <c r="N66" s="36">
        <f t="shared" si="119"/>
        <v>0</v>
      </c>
      <c r="O66" s="20">
        <f t="shared" si="120"/>
        <v>0</v>
      </c>
      <c r="P66" s="20">
        <f t="shared" si="116"/>
        <v>0</v>
      </c>
      <c r="Q66" s="20">
        <f t="shared" si="121"/>
        <v>0</v>
      </c>
      <c r="R66" s="20">
        <f t="shared" si="117"/>
        <v>0</v>
      </c>
    </row>
    <row r="67" spans="1:18" x14ac:dyDescent="0.25">
      <c r="A67">
        <v>4</v>
      </c>
      <c r="B67" s="6">
        <f t="shared" ref="B67:E67" si="126">B47</f>
        <v>0</v>
      </c>
      <c r="C67" s="6" t="str">
        <f t="shared" si="126"/>
        <v>Y</v>
      </c>
      <c r="D67" s="6">
        <f t="shared" si="126"/>
        <v>0</v>
      </c>
      <c r="E67" s="6">
        <f t="shared" si="126"/>
        <v>0</v>
      </c>
      <c r="F67" s="19">
        <f t="shared" si="123"/>
        <v>0</v>
      </c>
      <c r="G67">
        <f t="shared" ref="G67:I67" si="127">G47</f>
        <v>0</v>
      </c>
      <c r="H67">
        <f t="shared" si="127"/>
        <v>0</v>
      </c>
      <c r="I67">
        <f t="shared" si="127"/>
        <v>0</v>
      </c>
      <c r="J67">
        <f>'1040 W4 PLANNER 2021'!N42</f>
        <v>0</v>
      </c>
      <c r="K67">
        <f t="shared" si="114"/>
        <v>0</v>
      </c>
      <c r="L67" s="19">
        <f t="shared" si="125"/>
        <v>0</v>
      </c>
      <c r="M67" s="36">
        <f t="shared" si="118"/>
        <v>0</v>
      </c>
      <c r="N67" s="36">
        <f t="shared" si="119"/>
        <v>0</v>
      </c>
      <c r="O67" s="20">
        <f t="shared" si="120"/>
        <v>0</v>
      </c>
      <c r="P67" s="20">
        <f t="shared" si="116"/>
        <v>0</v>
      </c>
      <c r="Q67" s="20">
        <f t="shared" si="121"/>
        <v>0</v>
      </c>
      <c r="R67" s="20">
        <f t="shared" si="117"/>
        <v>0</v>
      </c>
    </row>
    <row r="68" spans="1:18" x14ac:dyDescent="0.25">
      <c r="A68">
        <v>5</v>
      </c>
      <c r="B68" s="6">
        <f t="shared" ref="B68:E68" si="128">B48</f>
        <v>0</v>
      </c>
      <c r="C68" s="6" t="str">
        <f t="shared" si="128"/>
        <v>Y</v>
      </c>
      <c r="D68" s="6">
        <f t="shared" si="128"/>
        <v>0</v>
      </c>
      <c r="E68" s="6">
        <f t="shared" si="128"/>
        <v>0</v>
      </c>
      <c r="F68" s="19">
        <f t="shared" si="123"/>
        <v>0</v>
      </c>
      <c r="G68">
        <f t="shared" ref="G68:I68" si="129">G48</f>
        <v>0</v>
      </c>
      <c r="H68">
        <f t="shared" si="129"/>
        <v>0</v>
      </c>
      <c r="I68">
        <f t="shared" si="129"/>
        <v>0</v>
      </c>
      <c r="J68">
        <f>'1040 W4 PLANNER 2021'!N43</f>
        <v>0</v>
      </c>
      <c r="K68">
        <f t="shared" si="114"/>
        <v>0</v>
      </c>
      <c r="L68" s="19">
        <f t="shared" si="125"/>
        <v>0</v>
      </c>
      <c r="M68" s="36">
        <f t="shared" si="118"/>
        <v>0</v>
      </c>
      <c r="N68" s="36">
        <f t="shared" si="119"/>
        <v>0</v>
      </c>
      <c r="O68" s="20">
        <f t="shared" si="120"/>
        <v>0</v>
      </c>
      <c r="P68" s="20">
        <f t="shared" si="116"/>
        <v>0</v>
      </c>
      <c r="Q68" s="20">
        <f t="shared" si="121"/>
        <v>0</v>
      </c>
      <c r="R68" s="20">
        <f t="shared" si="117"/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R39"/>
  <sheetViews>
    <sheetView workbookViewId="0">
      <selection activeCell="G7" sqref="G7"/>
    </sheetView>
  </sheetViews>
  <sheetFormatPr defaultRowHeight="15" x14ac:dyDescent="0.25"/>
  <cols>
    <col min="1" max="1" width="6.85546875" customWidth="1"/>
    <col min="2" max="2" width="16.7109375" customWidth="1"/>
    <col min="4" max="4" width="11.7109375" customWidth="1"/>
    <col min="5" max="5" width="10.5703125" bestFit="1" customWidth="1"/>
    <col min="7" max="7" width="11.5703125" bestFit="1" customWidth="1"/>
    <col min="8" max="8" width="11" bestFit="1" customWidth="1"/>
    <col min="11" max="11" width="14.28515625" customWidth="1"/>
    <col min="12" max="12" width="11.5703125" bestFit="1" customWidth="1"/>
  </cols>
  <sheetData>
    <row r="1" spans="1:18" x14ac:dyDescent="0.25">
      <c r="A1" t="s">
        <v>50</v>
      </c>
      <c r="C1" t="s">
        <v>52</v>
      </c>
      <c r="D1">
        <f>'1040 W4 PLANNER 2021'!Q8</f>
        <v>2</v>
      </c>
      <c r="G1" s="78" t="s">
        <v>24</v>
      </c>
      <c r="K1" s="119" t="s">
        <v>256</v>
      </c>
      <c r="L1" s="120"/>
      <c r="M1" s="120" t="s">
        <v>400</v>
      </c>
      <c r="N1" s="120"/>
      <c r="O1" s="120"/>
      <c r="P1" s="120"/>
      <c r="Q1" s="120"/>
      <c r="R1" s="121"/>
    </row>
    <row r="2" spans="1:18" x14ac:dyDescent="0.25">
      <c r="B2" s="34">
        <v>2021</v>
      </c>
      <c r="K2" s="122"/>
      <c r="L2" s="111"/>
      <c r="M2" s="111"/>
      <c r="N2" s="111"/>
      <c r="O2" s="111"/>
      <c r="P2" s="111"/>
      <c r="Q2" s="111"/>
      <c r="R2" s="123"/>
    </row>
    <row r="3" spans="1:18" x14ac:dyDescent="0.25">
      <c r="A3">
        <v>1</v>
      </c>
      <c r="B3" s="23">
        <f>'1040 W4 PLANNER 2021'!J48</f>
        <v>0</v>
      </c>
      <c r="C3" t="s">
        <v>54</v>
      </c>
      <c r="K3" s="124" t="s">
        <v>390</v>
      </c>
      <c r="L3" s="111"/>
      <c r="M3" s="111"/>
      <c r="N3" s="111"/>
      <c r="O3" s="111"/>
      <c r="P3" s="111"/>
      <c r="Q3" s="111"/>
      <c r="R3" s="123"/>
    </row>
    <row r="4" spans="1:18" x14ac:dyDescent="0.25">
      <c r="A4">
        <f>A3+1</f>
        <v>2</v>
      </c>
      <c r="B4" s="19">
        <f>B3/2</f>
        <v>0</v>
      </c>
      <c r="C4" s="28" t="s">
        <v>55</v>
      </c>
      <c r="G4" s="34">
        <v>2021</v>
      </c>
      <c r="K4" s="122">
        <f>'1040 W4 PLANNER 2021'!Q8</f>
        <v>2</v>
      </c>
      <c r="L4" s="111"/>
      <c r="M4" s="111"/>
      <c r="N4" s="111"/>
      <c r="O4" s="111"/>
      <c r="P4" s="111"/>
      <c r="Q4" s="111"/>
      <c r="R4" s="123"/>
    </row>
    <row r="5" spans="1:18" x14ac:dyDescent="0.25">
      <c r="A5">
        <f t="shared" ref="A5:A20" si="0">A4+1</f>
        <v>3</v>
      </c>
      <c r="B5" s="23">
        <f>'1040 W4 PLANNER 2021'!S21+'1040 W4 PLANNER 2021'!S22+'1040 W4 PLANNER 2021'!S23+'1040 W4 PLANNER 2021'!S24+'1040 W4 PLANNER 2021'!S25+'1040 W4 PLANNER 2021'!S26+'1040 W4 PLANNER 2021'!S27+'1040 W4 PLANNER 2021'!S28+'1040 W4 PLANNER 2021'!S29+'1040 W4 PLANNER 2021'!S30+'1040 W4 PLANNER 2021'!S40+'1040 W4 PLANNER 2021'!S41+'1040 W4 PLANNER 2021'!S42+'1040 W4 PLANNER 2021'!S45+'1040 W4 PLANNER 2021'!S46+'1040 W4 PLANNER 2021'!S47+'1040 W4 PLANNER 2021'!S49</f>
        <v>0</v>
      </c>
      <c r="C5" t="s">
        <v>56</v>
      </c>
      <c r="F5" t="s">
        <v>75</v>
      </c>
      <c r="K5" s="122" t="s">
        <v>391</v>
      </c>
      <c r="L5" s="111" t="s">
        <v>271</v>
      </c>
      <c r="M5" s="111"/>
      <c r="N5" s="111"/>
      <c r="O5" s="111" t="s">
        <v>397</v>
      </c>
      <c r="P5" s="111"/>
      <c r="Q5" s="111"/>
      <c r="R5" s="123"/>
    </row>
    <row r="6" spans="1:18" x14ac:dyDescent="0.25">
      <c r="A6">
        <f t="shared" si="0"/>
        <v>4</v>
      </c>
      <c r="B6" s="23">
        <f>'1040 W4 PLANNER 2021'!K23</f>
        <v>0</v>
      </c>
      <c r="C6" t="s">
        <v>57</v>
      </c>
      <c r="F6">
        <v>1</v>
      </c>
      <c r="G6" s="23">
        <f>IF(D1=1,12550,IF(D1=3,12550,IF(D1=4,18800,25100)))</f>
        <v>25100</v>
      </c>
      <c r="H6" t="s">
        <v>77</v>
      </c>
      <c r="J6">
        <v>6</v>
      </c>
      <c r="K6" s="125">
        <f>IF(K4=2,326600,163300)</f>
        <v>326600</v>
      </c>
      <c r="L6" s="126">
        <f>IF(K4=2,326600,163300)</f>
        <v>326600</v>
      </c>
      <c r="M6" s="111" t="s">
        <v>257</v>
      </c>
      <c r="N6" s="111"/>
      <c r="O6" s="111" t="s">
        <v>394</v>
      </c>
      <c r="P6" s="125">
        <f>'1040 W4 PLANNER 2021'!S50-'1040 W4 PLANNER 2021'!S52-'1040 W4 PLANNER 2021'!S53-'1040 W4 PLANNER 2021'!S54-'1040 W4 PLANNER 2021'!S56-'1040 W4 PLANNER 2021'!S57-'1040 W4 PLANNER 2021'!S58-'1040 W4 PLANNER 2021'!S59-'1040 W4 PLANNER 2021'!S60-'1040 W4 PLANNER 2021'!S61-'1040 W4 PLANNER 2021'!S63</f>
        <v>0</v>
      </c>
      <c r="Q6" s="111"/>
      <c r="R6" s="123"/>
    </row>
    <row r="7" spans="1:18" x14ac:dyDescent="0.25">
      <c r="A7">
        <f t="shared" si="0"/>
        <v>5</v>
      </c>
      <c r="B7" s="23">
        <f>B6+B5+B4</f>
        <v>0</v>
      </c>
      <c r="C7" t="s">
        <v>58</v>
      </c>
      <c r="F7" t="s">
        <v>76</v>
      </c>
      <c r="G7" s="23" t="e">
        <f>IF('1040 W4 PLANNER 2021'!#REF!+'1040 W4 PLANNER 2021'!Q5=0,1,0)</f>
        <v>#REF!</v>
      </c>
      <c r="H7" t="s">
        <v>78</v>
      </c>
      <c r="J7">
        <v>8</v>
      </c>
      <c r="K7" s="125">
        <f>IF(K4=2,100000,50000)</f>
        <v>100000</v>
      </c>
      <c r="L7" s="126">
        <v>100000</v>
      </c>
      <c r="M7" s="111" t="s">
        <v>124</v>
      </c>
      <c r="N7" s="111"/>
      <c r="O7" s="111" t="s">
        <v>395</v>
      </c>
      <c r="P7" s="111">
        <f>'1040 W4 PLANNER 2021'!S85</f>
        <v>25100</v>
      </c>
      <c r="Q7" s="111"/>
      <c r="R7" s="123"/>
    </row>
    <row r="8" spans="1:18" x14ac:dyDescent="0.25">
      <c r="A8">
        <f t="shared" si="0"/>
        <v>6</v>
      </c>
      <c r="B8" s="23">
        <f>SUM('1040 W4 PLANNER 2021'!S52:S63)</f>
        <v>0</v>
      </c>
      <c r="C8" t="s">
        <v>59</v>
      </c>
      <c r="F8" t="s">
        <v>24</v>
      </c>
      <c r="G8" s="23">
        <f>'1040 W4 PLANNER 2021'!S21+'1040 W4 PLANNER 2021'!S22+'1040 W4 PLANNER 2021'!S27+'1040 W4 PLANNER 2021'!S28+'1040 W4 PLANNER 2021'!S45+'1040 W4 PLANNER 2021'!S46</f>
        <v>0</v>
      </c>
      <c r="H8" t="s">
        <v>79</v>
      </c>
      <c r="J8">
        <v>5</v>
      </c>
      <c r="K8" s="127">
        <f>P8</f>
        <v>-25100</v>
      </c>
      <c r="L8" s="128">
        <f>P8</f>
        <v>-25100</v>
      </c>
      <c r="M8" s="111"/>
      <c r="N8" s="111"/>
      <c r="O8" s="111" t="s">
        <v>396</v>
      </c>
      <c r="P8" s="130">
        <f>P6-P7</f>
        <v>-25100</v>
      </c>
      <c r="Q8" s="111"/>
      <c r="R8" s="123"/>
    </row>
    <row r="9" spans="1:18" x14ac:dyDescent="0.25">
      <c r="A9">
        <f t="shared" si="0"/>
        <v>7</v>
      </c>
      <c r="B9" s="23">
        <f>IF(B7&gt;B8,B7-B8,0)</f>
        <v>0</v>
      </c>
      <c r="C9" t="s">
        <v>60</v>
      </c>
      <c r="F9">
        <v>3</v>
      </c>
      <c r="G9" s="23">
        <f>IF(G8&gt;650,G8+350,1100)</f>
        <v>1100</v>
      </c>
      <c r="H9" t="s">
        <v>289</v>
      </c>
      <c r="J9">
        <v>7</v>
      </c>
      <c r="K9" s="129">
        <f>K8-K6</f>
        <v>-351700</v>
      </c>
      <c r="L9" s="130">
        <f>K9</f>
        <v>-351700</v>
      </c>
      <c r="M9" s="111"/>
      <c r="N9" s="111"/>
      <c r="O9" s="111"/>
      <c r="P9" s="111"/>
      <c r="Q9" s="111"/>
      <c r="R9" s="123"/>
    </row>
    <row r="10" spans="1:18" x14ac:dyDescent="0.25">
      <c r="A10">
        <f t="shared" si="0"/>
        <v>8</v>
      </c>
      <c r="B10" s="23">
        <f>IF(D1=2,32000,IF(D1=1,25000,IF(D1=4,25000,0)))</f>
        <v>32000</v>
      </c>
      <c r="F10">
        <v>4</v>
      </c>
      <c r="G10" s="23">
        <f>IF(G9&gt;G6,G6,G9)</f>
        <v>1100</v>
      </c>
      <c r="H10" t="s">
        <v>80</v>
      </c>
      <c r="J10">
        <v>9</v>
      </c>
      <c r="K10" s="131">
        <f>K9/K7</f>
        <v>-3.5169999999999999</v>
      </c>
      <c r="L10" s="132">
        <f t="shared" ref="L10:L11" si="1">K10</f>
        <v>-3.5169999999999999</v>
      </c>
      <c r="M10" s="111"/>
      <c r="N10" s="111"/>
      <c r="O10" s="111"/>
      <c r="P10" s="111"/>
      <c r="Q10" s="111"/>
      <c r="R10" s="123"/>
    </row>
    <row r="11" spans="1:18" x14ac:dyDescent="0.25">
      <c r="A11">
        <f t="shared" si="0"/>
        <v>9</v>
      </c>
      <c r="B11" s="23">
        <f>IF(B9&gt;B10,B9-B10,0)</f>
        <v>0</v>
      </c>
      <c r="C11" s="28" t="s">
        <v>61</v>
      </c>
      <c r="F11" t="s">
        <v>24</v>
      </c>
      <c r="G11" s="23" t="e">
        <f>IF(G7=0,G6,G10)</f>
        <v>#REF!</v>
      </c>
      <c r="H11" t="s">
        <v>78</v>
      </c>
      <c r="J11">
        <v>10</v>
      </c>
      <c r="K11" s="131">
        <f>1-K10</f>
        <v>4.5169999999999995</v>
      </c>
      <c r="L11" s="132">
        <f t="shared" si="1"/>
        <v>4.5169999999999995</v>
      </c>
      <c r="M11" s="111"/>
      <c r="N11" s="111"/>
      <c r="O11" s="111"/>
      <c r="P11" s="111"/>
      <c r="Q11" s="111"/>
      <c r="R11" s="123"/>
    </row>
    <row r="12" spans="1:18" x14ac:dyDescent="0.25">
      <c r="A12">
        <f t="shared" si="0"/>
        <v>10</v>
      </c>
      <c r="B12" s="23">
        <f>IF(D1=2,12000,9000)</f>
        <v>12000</v>
      </c>
      <c r="F12">
        <v>5</v>
      </c>
      <c r="G12" s="23">
        <f>IF(D1=1,1700*'1040 W4 PLANNER 2021'!Q9,IF(D1=4,1700*'1040 W4 PLANNER 2021'!Q9,1350*'1040 W4 PLANNER 2021'!Q9))</f>
        <v>0</v>
      </c>
      <c r="H12" t="s">
        <v>81</v>
      </c>
      <c r="J12">
        <v>11</v>
      </c>
      <c r="K12" s="127">
        <f>K25*K11</f>
        <v>0</v>
      </c>
      <c r="L12" s="128">
        <f>L25*L11</f>
        <v>0</v>
      </c>
      <c r="M12" s="111"/>
      <c r="N12" s="111"/>
      <c r="O12" s="111"/>
      <c r="P12" s="111"/>
      <c r="Q12" s="111"/>
      <c r="R12" s="123"/>
    </row>
    <row r="13" spans="1:18" x14ac:dyDescent="0.25">
      <c r="A13">
        <f t="shared" si="0"/>
        <v>11</v>
      </c>
      <c r="B13" s="23">
        <f>IF(B11&gt;B12,B11-B12,0)</f>
        <v>0</v>
      </c>
      <c r="C13" s="28" t="s">
        <v>62</v>
      </c>
      <c r="F13">
        <v>6</v>
      </c>
      <c r="G13" s="19">
        <f>G12+G6</f>
        <v>25100</v>
      </c>
      <c r="H13" t="s">
        <v>82</v>
      </c>
      <c r="K13" s="122"/>
      <c r="L13" s="111"/>
      <c r="M13" s="111"/>
      <c r="N13" s="111"/>
      <c r="O13" s="111"/>
      <c r="P13" s="111"/>
      <c r="Q13" s="111"/>
      <c r="R13" s="123"/>
    </row>
    <row r="14" spans="1:18" x14ac:dyDescent="0.25">
      <c r="A14">
        <f t="shared" si="0"/>
        <v>12</v>
      </c>
      <c r="B14" s="23">
        <f>IF(B11&gt;B12,B12,B11)</f>
        <v>0</v>
      </c>
      <c r="C14" t="s">
        <v>63</v>
      </c>
      <c r="K14" s="122"/>
      <c r="L14" s="111"/>
      <c r="M14" s="111"/>
      <c r="N14" s="111"/>
      <c r="O14" s="111"/>
      <c r="P14" s="111"/>
      <c r="Q14" s="111"/>
      <c r="R14" s="123"/>
    </row>
    <row r="15" spans="1:18" x14ac:dyDescent="0.25">
      <c r="A15">
        <f t="shared" si="0"/>
        <v>13</v>
      </c>
      <c r="B15" s="23">
        <f>B14/2</f>
        <v>0</v>
      </c>
      <c r="C15" s="28" t="s">
        <v>55</v>
      </c>
      <c r="K15" s="122"/>
      <c r="L15" s="111"/>
      <c r="M15" s="111"/>
      <c r="N15" s="111"/>
      <c r="O15" s="111"/>
      <c r="P15" s="111"/>
      <c r="Q15" s="111"/>
      <c r="R15" s="123"/>
    </row>
    <row r="16" spans="1:18" x14ac:dyDescent="0.25">
      <c r="A16">
        <f t="shared" si="0"/>
        <v>14</v>
      </c>
      <c r="B16" s="23">
        <f>IF(B15&gt;B4,B4,B15)</f>
        <v>0</v>
      </c>
      <c r="C16" t="s">
        <v>64</v>
      </c>
      <c r="K16" s="122"/>
      <c r="L16" s="111"/>
      <c r="M16" s="111"/>
      <c r="N16" s="111"/>
      <c r="O16" s="111"/>
      <c r="P16" s="111"/>
      <c r="Q16" s="111"/>
      <c r="R16" s="123"/>
    </row>
    <row r="17" spans="1:18" x14ac:dyDescent="0.25">
      <c r="A17">
        <f t="shared" si="0"/>
        <v>15</v>
      </c>
      <c r="B17" s="23">
        <f>B13*0.85</f>
        <v>0</v>
      </c>
      <c r="C17" s="27" t="s">
        <v>65</v>
      </c>
      <c r="K17" s="122"/>
      <c r="L17" s="111"/>
      <c r="M17" s="111"/>
      <c r="N17" s="111"/>
      <c r="O17" s="111"/>
      <c r="P17" s="111"/>
      <c r="Q17" s="111"/>
      <c r="R17" s="123"/>
    </row>
    <row r="18" spans="1:18" x14ac:dyDescent="0.25">
      <c r="A18">
        <f t="shared" si="0"/>
        <v>16</v>
      </c>
      <c r="B18" s="23">
        <f>B17+B16</f>
        <v>0</v>
      </c>
      <c r="C18" s="29" t="s">
        <v>66</v>
      </c>
      <c r="K18" s="125">
        <f>IF('1040 W4 PLANNER 2021'!Q27="X",'1040 W4 PLANNER 2021'!S27,0)</f>
        <v>0</v>
      </c>
      <c r="L18" s="126">
        <f>IF('1040 W4 PLANNER 2021'!S27&lt;&gt;"X",'1040 W4 PLANNER 2021'!S27,0)</f>
        <v>0</v>
      </c>
      <c r="M18" s="111" t="s">
        <v>259</v>
      </c>
      <c r="N18" s="111" t="s">
        <v>258</v>
      </c>
      <c r="O18" s="111"/>
      <c r="P18" s="111"/>
      <c r="Q18" s="111"/>
      <c r="R18" s="123"/>
    </row>
    <row r="19" spans="1:18" x14ac:dyDescent="0.25">
      <c r="A19">
        <f t="shared" si="0"/>
        <v>17</v>
      </c>
      <c r="B19" s="23">
        <f>B3*0.85</f>
        <v>0</v>
      </c>
      <c r="C19" s="29" t="s">
        <v>67</v>
      </c>
      <c r="G19" t="s">
        <v>84</v>
      </c>
      <c r="K19" s="125">
        <f>IF('1040 W4 PLANNER 2021'!Q28="X",'1040 W4 PLANNER 2021'!S28,0)</f>
        <v>0</v>
      </c>
      <c r="L19" s="126">
        <f>IF('1040 W4 PLANNER 2021'!S28&lt;&gt;"X",'1040 W4 PLANNER 2021'!S28,0)</f>
        <v>0</v>
      </c>
      <c r="M19" s="111" t="s">
        <v>260</v>
      </c>
      <c r="N19" s="111"/>
      <c r="O19" s="111"/>
      <c r="P19" s="111"/>
      <c r="Q19" s="111"/>
      <c r="R19" s="123"/>
    </row>
    <row r="20" spans="1:18" x14ac:dyDescent="0.25">
      <c r="A20">
        <f t="shared" si="0"/>
        <v>18</v>
      </c>
      <c r="B20" s="23">
        <f>IF(B18&gt;B19,B19,B18)</f>
        <v>0</v>
      </c>
      <c r="C20" t="s">
        <v>68</v>
      </c>
      <c r="K20" s="125">
        <f>IF('1040 W4 PLANNER 2021'!Q42="X",'1040 W4 PLANNER 2021'!S42,0)</f>
        <v>0</v>
      </c>
      <c r="L20" s="126">
        <f>IF('1040 W4 PLANNER 2021'!Q42&lt;&gt;"X",'1040 W4 PLANNER 2021'!S42,0)</f>
        <v>0</v>
      </c>
      <c r="M20" s="111"/>
      <c r="N20" s="111"/>
      <c r="O20" s="111"/>
      <c r="P20" s="111"/>
      <c r="Q20" s="111"/>
      <c r="R20" s="123"/>
    </row>
    <row r="21" spans="1:18" x14ac:dyDescent="0.25">
      <c r="A21">
        <v>19</v>
      </c>
      <c r="B21" s="23">
        <f>IF(D1=3,B3*0.85,B20)</f>
        <v>0</v>
      </c>
      <c r="C21" t="s">
        <v>53</v>
      </c>
      <c r="K21" s="125">
        <f>IF('1040 W4 PLANNER 2021'!Q43="X",'1040 W4 PLANNER 2021'!S43,0)</f>
        <v>0</v>
      </c>
      <c r="L21" s="126">
        <f>IF('1040 W4 PLANNER 2021'!Q43&lt;&gt;"X",'1040 W4 PLANNER 2021'!S43,0)</f>
        <v>0</v>
      </c>
      <c r="M21" s="111" t="s">
        <v>261</v>
      </c>
      <c r="N21" s="111"/>
      <c r="O21" s="111"/>
      <c r="P21" s="111"/>
      <c r="Q21" s="111"/>
      <c r="R21" s="123"/>
    </row>
    <row r="22" spans="1:18" x14ac:dyDescent="0.25">
      <c r="B22" s="34">
        <v>2021</v>
      </c>
      <c r="G22" s="34">
        <v>2021</v>
      </c>
      <c r="K22" s="125">
        <f>IF('1040 W4 PLANNER 2021'!Q44="X",'1040 W4 PLANNER 2021'!S44,0)</f>
        <v>0</v>
      </c>
      <c r="L22" s="126">
        <f>IF('1040 W4 PLANNER 2021'!Q44&lt;&gt;"X",'1040 W4 PLANNER 2021'!S44,0)</f>
        <v>0</v>
      </c>
      <c r="M22" s="111" t="s">
        <v>262</v>
      </c>
      <c r="N22" s="111"/>
      <c r="O22" s="111"/>
      <c r="P22" s="111"/>
      <c r="Q22" s="111"/>
      <c r="R22" s="123"/>
    </row>
    <row r="23" spans="1:18" x14ac:dyDescent="0.25">
      <c r="A23" t="s">
        <v>69</v>
      </c>
      <c r="D23" t="s">
        <v>73</v>
      </c>
      <c r="G23">
        <v>1</v>
      </c>
      <c r="H23" s="23">
        <f>'1040 W4 PLANNER 2021'!I62</f>
        <v>0</v>
      </c>
      <c r="I23" t="s">
        <v>89</v>
      </c>
      <c r="K23" s="122"/>
      <c r="L23" s="126">
        <f>'1040 W4 PLANNER 2021'!S45</f>
        <v>0</v>
      </c>
      <c r="M23" s="111" t="s">
        <v>272</v>
      </c>
      <c r="N23" s="111"/>
      <c r="O23" s="111"/>
      <c r="P23" s="111"/>
      <c r="Q23" s="111"/>
      <c r="R23" s="123"/>
    </row>
    <row r="24" spans="1:18" x14ac:dyDescent="0.25">
      <c r="A24" t="s">
        <v>70</v>
      </c>
      <c r="B24" s="23">
        <f>'1040 W4 PLANNER 2021'!S45</f>
        <v>0</v>
      </c>
      <c r="D24" t="s">
        <v>70</v>
      </c>
      <c r="E24" s="23">
        <f>'1040 W4 PLANNER 2021'!S46</f>
        <v>0</v>
      </c>
      <c r="G24">
        <v>2</v>
      </c>
      <c r="H24" s="23">
        <f>'1040 W4 PLANNER 2021'!S21+'1040 W4 PLANNER 2021'!S22+'1040 W4 PLANNER 2021'!S23+'1040 W4 PLANNER 2021'!S24+'1040 W4 PLANNER 2021'!S25+'1040 W4 PLANNER 2021'!S26+'1040 W4 PLANNER 2021'!S27+'1040 W4 PLANNER 2021'!S28+'1040 W4 PLANNER 2021'!S29+'1040 W4 PLANNER 2021'!S30+'1040 W4 PLANNER 2021'!S40+'1040 W4 PLANNER 2021'!S41+'1040 W4 PLANNER 2021'!S42+'1040 W4 PLANNER 2021'!S45+'1040 W4 PLANNER 2021'!S46+'1040 W4 PLANNER 2021'!S49+'1040 W4 PLANNER 2021'!J48*0.85</f>
        <v>0</v>
      </c>
      <c r="I24" t="s">
        <v>85</v>
      </c>
      <c r="K24" s="122"/>
      <c r="L24" s="126">
        <f>'1040 W4 PLANNER 2021'!S46</f>
        <v>0</v>
      </c>
      <c r="M24" s="111" t="s">
        <v>273</v>
      </c>
      <c r="N24" s="111"/>
      <c r="O24" s="111"/>
      <c r="P24" s="111"/>
      <c r="Q24" s="111"/>
      <c r="R24" s="123"/>
    </row>
    <row r="25" spans="1:18" x14ac:dyDescent="0.25">
      <c r="A25" t="s">
        <v>71</v>
      </c>
      <c r="B25" s="23">
        <v>0</v>
      </c>
      <c r="D25" t="s">
        <v>71</v>
      </c>
      <c r="E25" s="23">
        <v>0</v>
      </c>
      <c r="G25">
        <v>3</v>
      </c>
      <c r="H25" s="23">
        <f>'1040 W4 PLANNER 2021'!S52+'1040 W4 PLANNER 2021'!S53+'1040 W4 PLANNER 2021'!S54+'1040 W4 PLANNER 2021'!S55+'1040 W4 PLANNER 2021'!S56+'1040 W4 PLANNER 2021'!S57+'1040 W4 PLANNER 2021'!S58+'1040 W4 PLANNER 2021'!S59+'1040 W4 PLANNER 2021'!S60+'1040 W4 PLANNER 2021'!S61</f>
        <v>0</v>
      </c>
      <c r="K25" s="125">
        <f>SUM(K18:K22)</f>
        <v>0</v>
      </c>
      <c r="L25" s="126">
        <f>SUM(L18:L24)</f>
        <v>0</v>
      </c>
      <c r="M25" s="111" t="s">
        <v>263</v>
      </c>
      <c r="N25" s="111"/>
      <c r="O25" s="111"/>
      <c r="P25" s="111"/>
      <c r="Q25" s="111"/>
      <c r="R25" s="123"/>
    </row>
    <row r="26" spans="1:18" x14ac:dyDescent="0.25">
      <c r="A26">
        <v>2</v>
      </c>
      <c r="B26" s="23">
        <f>'1040 W4 PLANNER 2021'!S27</f>
        <v>0</v>
      </c>
      <c r="D26">
        <v>2</v>
      </c>
      <c r="E26" s="23">
        <f>'1040 W4 PLANNER 2021'!S28</f>
        <v>0</v>
      </c>
      <c r="G26">
        <v>4</v>
      </c>
      <c r="H26" s="23">
        <f>H24-H25</f>
        <v>0</v>
      </c>
      <c r="K26" s="125">
        <f>IF(K25&gt;0,K25*0.2,0)</f>
        <v>0</v>
      </c>
      <c r="L26" s="126">
        <f>IF(L25&gt;0,L25*0.2,0)</f>
        <v>0</v>
      </c>
      <c r="M26" s="111" t="s">
        <v>264</v>
      </c>
      <c r="N26" s="111"/>
      <c r="O26" s="111"/>
      <c r="P26" s="111"/>
      <c r="Q26" s="111"/>
      <c r="R26" s="123"/>
    </row>
    <row r="27" spans="1:18" x14ac:dyDescent="0.25">
      <c r="A27">
        <v>3</v>
      </c>
      <c r="B27" s="23">
        <f>SUM(B24:B26)</f>
        <v>0</v>
      </c>
      <c r="D27">
        <v>3</v>
      </c>
      <c r="E27" s="23">
        <f>SUM(E24:E26)</f>
        <v>0</v>
      </c>
      <c r="G27">
        <v>5</v>
      </c>
      <c r="H27" s="23">
        <f>+IF(D1=2,140000,70000)</f>
        <v>140000</v>
      </c>
      <c r="I27" t="s">
        <v>88</v>
      </c>
      <c r="L27" s="126"/>
      <c r="M27" s="111" t="s">
        <v>265</v>
      </c>
      <c r="N27" s="111"/>
      <c r="O27" s="111"/>
      <c r="P27" s="111"/>
      <c r="Q27" s="111"/>
      <c r="R27" s="123"/>
    </row>
    <row r="28" spans="1:18" x14ac:dyDescent="0.25">
      <c r="A28">
        <v>4</v>
      </c>
      <c r="B28" s="23">
        <f>B27*0.9235</f>
        <v>0</v>
      </c>
      <c r="D28">
        <v>4</v>
      </c>
      <c r="E28" s="23">
        <f>E27*0.9235</f>
        <v>0</v>
      </c>
      <c r="G28">
        <v>6</v>
      </c>
      <c r="H28" s="23">
        <f>IF(H27&gt;H26,0,H26-H27)</f>
        <v>0</v>
      </c>
      <c r="I28" s="29" t="s">
        <v>87</v>
      </c>
      <c r="K28" s="125">
        <f>IF(P6&gt;K6,P6-K6,0)</f>
        <v>0</v>
      </c>
      <c r="L28" s="111"/>
      <c r="M28" s="111" t="s">
        <v>274</v>
      </c>
      <c r="N28" s="111"/>
      <c r="O28" s="111"/>
      <c r="P28" s="111"/>
      <c r="Q28" s="111"/>
      <c r="R28" s="123"/>
    </row>
    <row r="29" spans="1:18" x14ac:dyDescent="0.25">
      <c r="A29">
        <v>5</v>
      </c>
      <c r="B29" s="23">
        <f>IF(B28&lt;400,0,B28)</f>
        <v>0</v>
      </c>
      <c r="D29">
        <v>5</v>
      </c>
      <c r="E29" s="23">
        <f>IF(E28&lt;400,0,E28)</f>
        <v>0</v>
      </c>
      <c r="G29">
        <v>7</v>
      </c>
      <c r="H29" s="31">
        <f>IF(D1=1,H28/15000,H28/30000)</f>
        <v>0</v>
      </c>
      <c r="I29" t="s">
        <v>215</v>
      </c>
      <c r="K29" s="125">
        <f>ROUND(K28/1000,0)*1000</f>
        <v>0</v>
      </c>
      <c r="L29" s="111"/>
      <c r="M29" s="111" t="s">
        <v>125</v>
      </c>
      <c r="N29" s="111"/>
      <c r="O29" s="111"/>
      <c r="P29" s="111"/>
      <c r="Q29" s="111"/>
      <c r="R29" s="123"/>
    </row>
    <row r="30" spans="1:18" x14ac:dyDescent="0.25">
      <c r="A30">
        <v>6</v>
      </c>
      <c r="B30" s="23">
        <f>B29</f>
        <v>0</v>
      </c>
      <c r="D30">
        <v>6</v>
      </c>
      <c r="E30" s="23">
        <f>E29</f>
        <v>0</v>
      </c>
      <c r="G30">
        <v>7</v>
      </c>
      <c r="H30">
        <f>IF(H29&gt;1,1,H29)</f>
        <v>0</v>
      </c>
      <c r="K30" s="133">
        <f>K29/K7</f>
        <v>0</v>
      </c>
      <c r="L30" s="111"/>
      <c r="M30" s="111"/>
      <c r="N30" s="111"/>
      <c r="O30" s="111"/>
      <c r="P30" s="111"/>
      <c r="Q30" s="111"/>
      <c r="R30" s="123"/>
    </row>
    <row r="31" spans="1:18" x14ac:dyDescent="0.25">
      <c r="A31">
        <v>7</v>
      </c>
      <c r="B31" s="23">
        <v>142800</v>
      </c>
      <c r="D31">
        <v>7</v>
      </c>
      <c r="E31" s="23">
        <v>142800</v>
      </c>
      <c r="G31">
        <v>7</v>
      </c>
      <c r="H31" s="31">
        <f>ROUND(H30,3)</f>
        <v>0</v>
      </c>
      <c r="I31" t="s">
        <v>86</v>
      </c>
      <c r="K31" s="125">
        <f>K30*K26</f>
        <v>0</v>
      </c>
      <c r="L31" s="111"/>
      <c r="M31" s="111"/>
      <c r="N31" s="111"/>
      <c r="O31" s="111"/>
      <c r="P31" s="111"/>
      <c r="Q31" s="111"/>
      <c r="R31" s="123"/>
    </row>
    <row r="32" spans="1:18" x14ac:dyDescent="0.25">
      <c r="A32">
        <v>8</v>
      </c>
      <c r="B32" s="23">
        <f>'1040 W4 PLANNER 2021'!L27</f>
        <v>0</v>
      </c>
      <c r="D32">
        <v>8</v>
      </c>
      <c r="E32" s="23">
        <f>'1040 W4 PLANNER 2021'!L28</f>
        <v>0</v>
      </c>
      <c r="G32">
        <v>8</v>
      </c>
      <c r="H32" s="23">
        <f>H31*H23</f>
        <v>0</v>
      </c>
      <c r="I32" s="29" t="s">
        <v>90</v>
      </c>
      <c r="K32" s="125"/>
      <c r="L32" s="134">
        <f>L26+K26</f>
        <v>0</v>
      </c>
      <c r="M32" s="111" t="s">
        <v>275</v>
      </c>
      <c r="N32" s="111"/>
      <c r="O32" s="111"/>
      <c r="P32" s="111"/>
      <c r="Q32" s="111"/>
      <c r="R32" s="123"/>
    </row>
    <row r="33" spans="1:18" x14ac:dyDescent="0.25">
      <c r="A33">
        <v>9</v>
      </c>
      <c r="B33" s="23">
        <f>IF(B31&gt;B32,(B31-B32),0)</f>
        <v>142800</v>
      </c>
      <c r="D33">
        <v>9</v>
      </c>
      <c r="E33" s="23">
        <f>IF(E31&gt;E32,(E31-E32),0)</f>
        <v>142800</v>
      </c>
      <c r="G33">
        <v>9</v>
      </c>
      <c r="H33" s="19">
        <f>H23-H32</f>
        <v>0</v>
      </c>
      <c r="I33" s="29" t="s">
        <v>91</v>
      </c>
      <c r="K33" s="125"/>
      <c r="L33" s="111">
        <f>IF(P8&lt;326600,L32,0)</f>
        <v>0</v>
      </c>
      <c r="M33" s="111" t="s">
        <v>96</v>
      </c>
      <c r="N33" s="111"/>
      <c r="O33" s="111"/>
      <c r="P33" s="111"/>
      <c r="Q33" s="111"/>
      <c r="R33" s="123"/>
    </row>
    <row r="34" spans="1:18" x14ac:dyDescent="0.25">
      <c r="A34">
        <v>10</v>
      </c>
      <c r="B34" s="23">
        <f>IF(B33&gt;B30,B30*0.124,B33*0.124)</f>
        <v>0</v>
      </c>
      <c r="D34">
        <v>10</v>
      </c>
      <c r="E34" s="23">
        <f>IF(E33&gt;E30,E30*0.124,E33*0.124)</f>
        <v>0</v>
      </c>
      <c r="H34" s="23">
        <f>IF(H33&gt;2500,2500,H33)</f>
        <v>0</v>
      </c>
      <c r="K34" s="125"/>
      <c r="L34" s="111">
        <f>IF(P8&lt;163300,L32,0)</f>
        <v>0</v>
      </c>
      <c r="M34" s="111" t="s">
        <v>92</v>
      </c>
      <c r="N34" s="111"/>
      <c r="O34" s="111"/>
      <c r="P34" s="111"/>
      <c r="Q34" s="111"/>
      <c r="R34" s="123"/>
    </row>
    <row r="35" spans="1:18" x14ac:dyDescent="0.25">
      <c r="A35">
        <v>11</v>
      </c>
      <c r="B35" s="23">
        <f>B30*0.029</f>
        <v>0</v>
      </c>
      <c r="D35">
        <v>11</v>
      </c>
      <c r="E35" s="23">
        <f>E30*0.029</f>
        <v>0</v>
      </c>
      <c r="K35" s="125"/>
      <c r="L35" s="138">
        <f>IF(D1=2,L33,L34)</f>
        <v>0</v>
      </c>
      <c r="M35" s="138" t="s">
        <v>95</v>
      </c>
      <c r="N35" s="111"/>
      <c r="O35" s="111"/>
      <c r="P35" s="111"/>
      <c r="Q35" s="111"/>
      <c r="R35" s="123"/>
    </row>
    <row r="36" spans="1:18" x14ac:dyDescent="0.25">
      <c r="A36">
        <v>12</v>
      </c>
      <c r="B36" s="23">
        <f>SUM(B34:B35)</f>
        <v>0</v>
      </c>
      <c r="D36">
        <v>12</v>
      </c>
      <c r="E36" s="23">
        <f>SUM(E34:E35)</f>
        <v>0</v>
      </c>
      <c r="K36" s="125"/>
      <c r="L36" s="111"/>
      <c r="M36" s="111"/>
      <c r="N36" s="111"/>
      <c r="O36" s="111"/>
      <c r="P36" s="111"/>
      <c r="Q36" s="111"/>
      <c r="R36" s="123"/>
    </row>
    <row r="37" spans="1:18" x14ac:dyDescent="0.25">
      <c r="A37">
        <v>13</v>
      </c>
      <c r="B37" s="23">
        <f>B34*0.5+0.5*B35</f>
        <v>0</v>
      </c>
      <c r="D37">
        <v>13</v>
      </c>
      <c r="E37" s="23">
        <f>E34*0.5+0.5*E35</f>
        <v>0</v>
      </c>
      <c r="K37" s="122"/>
      <c r="L37" s="111"/>
      <c r="M37" s="111"/>
      <c r="N37" s="111"/>
      <c r="O37" s="111"/>
      <c r="P37" s="111"/>
      <c r="Q37" s="111"/>
      <c r="R37" s="123"/>
    </row>
    <row r="38" spans="1:18" x14ac:dyDescent="0.25">
      <c r="K38" s="122"/>
      <c r="L38" s="111"/>
      <c r="M38" s="111"/>
      <c r="N38" s="111"/>
      <c r="O38" s="111"/>
      <c r="P38" s="111"/>
      <c r="Q38" s="111"/>
      <c r="R38" s="123"/>
    </row>
    <row r="39" spans="1:18" ht="15.75" thickBot="1" x14ac:dyDescent="0.3">
      <c r="K39" s="135"/>
      <c r="L39" s="136"/>
      <c r="M39" s="136"/>
      <c r="N39" s="136"/>
      <c r="O39" s="136"/>
      <c r="P39" s="136"/>
      <c r="Q39" s="136"/>
      <c r="R39" s="13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I58"/>
  <sheetViews>
    <sheetView workbookViewId="0">
      <selection activeCell="B13" sqref="B13"/>
    </sheetView>
  </sheetViews>
  <sheetFormatPr defaultRowHeight="15" x14ac:dyDescent="0.25"/>
  <cols>
    <col min="1" max="1" width="17.5703125" customWidth="1"/>
    <col min="2" max="2" width="12.7109375" bestFit="1" customWidth="1"/>
    <col min="3" max="3" width="23.42578125" customWidth="1"/>
    <col min="4" max="4" width="10.5703125" bestFit="1" customWidth="1"/>
    <col min="6" max="6" width="10.5703125" bestFit="1" customWidth="1"/>
    <col min="7" max="7" width="11.5703125" bestFit="1" customWidth="1"/>
  </cols>
  <sheetData>
    <row r="1" spans="1:9" x14ac:dyDescent="0.25">
      <c r="B1" s="11" t="s">
        <v>94</v>
      </c>
      <c r="C1" t="s">
        <v>244</v>
      </c>
      <c r="D1">
        <f>'1040 W4 PLANNER 2021'!Q8</f>
        <v>2</v>
      </c>
      <c r="E1" s="80" t="s">
        <v>435</v>
      </c>
      <c r="I1" t="s">
        <v>241</v>
      </c>
    </row>
    <row r="2" spans="1:9" x14ac:dyDescent="0.25">
      <c r="A2" t="s">
        <v>93</v>
      </c>
      <c r="B2" s="104">
        <f>'1040 W4 PLANNER 2021'!S87</f>
        <v>-25100</v>
      </c>
      <c r="F2" t="s">
        <v>278</v>
      </c>
      <c r="G2" t="s">
        <v>279</v>
      </c>
      <c r="I2" t="e">
        <f>IF('1040 W4 PLANNER 2021'!K24:K24&gt;'1040 W4 PLANNER 2021'!F24:G24,'1040 W4 PLANNER 2021'!F24:G24,'1040 W4 PLANNER 2021'!K24:K24)</f>
        <v>#VALUE!</v>
      </c>
    </row>
    <row r="3" spans="1:9" x14ac:dyDescent="0.25">
      <c r="B3" t="s">
        <v>92</v>
      </c>
      <c r="C3" s="23">
        <f>IF(F3&gt;G3,F3,G3)</f>
        <v>0</v>
      </c>
      <c r="F3" s="23">
        <f>IF(B2&lt;9950,B2*0.1,IF(B2&lt;40525,B2*0.12-199,IF(B2&lt;86375,B2*0.22-4251.5,IF(B2&lt;164925,B2*0.24-5979,IF(B2&lt;209425,B2*0.32-19173,IF(B2&lt;523600,B2*0.35-2555.75,B2*0.37-35927.75))))))</f>
        <v>-2510</v>
      </c>
      <c r="G3" s="23"/>
      <c r="I3" s="19"/>
    </row>
    <row r="4" spans="1:9" x14ac:dyDescent="0.25">
      <c r="B4" t="s">
        <v>96</v>
      </c>
      <c r="C4" s="23">
        <f>IF(F4&gt;G4,F4,G4)</f>
        <v>0</v>
      </c>
      <c r="F4" s="23">
        <f>IF(B2&lt;19900,B2*0.1,IF(B2&lt;81050,B2*0.12-398,IF(B2&lt;172750,B2*0.22-8503,IF(B2&lt;329850,B2*0.24-11958,IF(B2&lt;418850,B2*0.32-38346,IF(B2&lt;628300,B2*0.35-50911.5,(B2*0.37-63477.5)))))))</f>
        <v>-2510</v>
      </c>
      <c r="G4" s="23"/>
    </row>
    <row r="5" spans="1:9" x14ac:dyDescent="0.25">
      <c r="B5" t="s">
        <v>97</v>
      </c>
      <c r="C5" s="23">
        <f>IF(F5&gt;G5,F5,G5)</f>
        <v>0</v>
      </c>
      <c r="F5" s="23">
        <f>IF(B2&lt;9950,B2*0.1,IF(B2&lt;40525,B2*0.12-199,IF(B2&lt;86375,B2*0.22-4251.5,IF(B2&lt;164925,B2*0.24-5979,IF(B2&lt;209425,B2*0.32-19173,IF(B2&lt;314150,B2*0.35-25455.75,B2*0.37-31738.75))))))</f>
        <v>-2510</v>
      </c>
      <c r="G5" s="23"/>
    </row>
    <row r="6" spans="1:9" x14ac:dyDescent="0.25">
      <c r="B6" t="s">
        <v>98</v>
      </c>
      <c r="C6" s="23">
        <f>IF(F6&gt;G6,F6,G6)</f>
        <v>0</v>
      </c>
      <c r="F6" s="23">
        <f>IF(B2&lt;14200,B2*0.1,IF(B2&lt;54200,B2*0.12-284,IF(B2&lt;86350,B2*0.22-5704,IF(B2&lt;164900,B2*0.24-7431,IF(B2&lt;209400,B2*0.32-20623,IF(B2&lt;523600,B2*0.35-26905,B2*0.37-37377))))))</f>
        <v>-2510</v>
      </c>
      <c r="G6" s="23"/>
    </row>
    <row r="7" spans="1:9" x14ac:dyDescent="0.25">
      <c r="C7" s="23"/>
    </row>
    <row r="8" spans="1:9" x14ac:dyDescent="0.25">
      <c r="B8" t="s">
        <v>99</v>
      </c>
      <c r="C8" s="23">
        <f>IF(D1=1,F3,IF(D1=2,F4,IF(D1=3,F5,IF(D1=4,F6,F4))))</f>
        <v>-2510</v>
      </c>
      <c r="F8" s="20"/>
    </row>
    <row r="9" spans="1:9" x14ac:dyDescent="0.25">
      <c r="B9" t="s">
        <v>102</v>
      </c>
      <c r="C9" s="23">
        <f>(B13+B14)*'1040 W4 PLANNER 2021'!L29</f>
        <v>0</v>
      </c>
      <c r="D9" t="s">
        <v>111</v>
      </c>
    </row>
    <row r="10" spans="1:9" x14ac:dyDescent="0.25">
      <c r="B10" t="s">
        <v>105</v>
      </c>
      <c r="C10" s="23">
        <f>SUM(C8:C9)</f>
        <v>-2510</v>
      </c>
      <c r="D10" s="35">
        <f>ROUND(C11,0)</f>
        <v>0</v>
      </c>
    </row>
    <row r="11" spans="1:9" x14ac:dyDescent="0.25">
      <c r="B11" t="s">
        <v>140</v>
      </c>
      <c r="C11">
        <f>IF(C10&lt;0,0,C10)</f>
        <v>0</v>
      </c>
    </row>
    <row r="12" spans="1:9" x14ac:dyDescent="0.25">
      <c r="A12" t="s">
        <v>93</v>
      </c>
      <c r="B12" s="23">
        <f>'1040 W4 PLANNER 2021'!S87</f>
        <v>-25100</v>
      </c>
    </row>
    <row r="13" spans="1:9" x14ac:dyDescent="0.25">
      <c r="A13" t="s">
        <v>100</v>
      </c>
      <c r="B13" s="23">
        <f>'1040 W4 PLANNER 2021'!G29</f>
        <v>0</v>
      </c>
      <c r="C13" t="s">
        <v>243</v>
      </c>
      <c r="G13" t="s">
        <v>399</v>
      </c>
      <c r="H13">
        <f>IF('1040 W4 PLANNER 2021'!Q8=3,5000,10000)</f>
        <v>10000</v>
      </c>
    </row>
    <row r="14" spans="1:9" x14ac:dyDescent="0.25">
      <c r="A14" t="s">
        <v>104</v>
      </c>
      <c r="B14" s="23">
        <f>IF(C14&gt;'1040 W4 PLANNER 2021'!F24,'1040 W4 PLANNER 2021'!F24,C14)</f>
        <v>0</v>
      </c>
      <c r="C14" s="23">
        <f>'1040 W4 PLANNER 2021'!K24</f>
        <v>0</v>
      </c>
    </row>
    <row r="15" spans="1:9" x14ac:dyDescent="0.25">
      <c r="A15" t="s">
        <v>101</v>
      </c>
      <c r="B15" s="19">
        <f>B12-B13-B14</f>
        <v>-25100</v>
      </c>
      <c r="C15" s="19" t="s">
        <v>24</v>
      </c>
    </row>
    <row r="16" spans="1:9" x14ac:dyDescent="0.25">
      <c r="A16" s="34">
        <v>2021</v>
      </c>
    </row>
    <row r="17" spans="1:9" x14ac:dyDescent="0.25">
      <c r="A17" t="s">
        <v>110</v>
      </c>
    </row>
    <row r="18" spans="1:9" x14ac:dyDescent="0.25">
      <c r="A18">
        <v>3</v>
      </c>
      <c r="B18" s="23">
        <f>H23</f>
        <v>0</v>
      </c>
      <c r="C18" t="s">
        <v>113</v>
      </c>
      <c r="F18" t="s">
        <v>251</v>
      </c>
      <c r="H18">
        <f>'1040 W4 PLANNER 2021'!H94</f>
        <v>0</v>
      </c>
    </row>
    <row r="19" spans="1:9" x14ac:dyDescent="0.25">
      <c r="A19">
        <v>4</v>
      </c>
      <c r="B19" s="23">
        <f>'1040 W4 PLANNER 2021'!S21+'1040 W4 PLANNER 2021'!S45+'1040 W4 PLANNER 2021'!S27</f>
        <v>0</v>
      </c>
      <c r="C19" t="s">
        <v>114</v>
      </c>
      <c r="D19">
        <f>'1040 W4 PLANNER 2021'!Q8</f>
        <v>2</v>
      </c>
      <c r="H19">
        <f>'1040 W4 PLANNER 2021'!P94</f>
        <v>0</v>
      </c>
      <c r="I19" t="s">
        <v>113</v>
      </c>
    </row>
    <row r="20" spans="1:9" x14ac:dyDescent="0.25">
      <c r="A20">
        <v>5</v>
      </c>
      <c r="B20">
        <f>IF(D19=2,D20,B19)</f>
        <v>0</v>
      </c>
      <c r="C20" t="s">
        <v>115</v>
      </c>
      <c r="D20" s="38">
        <f>'1040 W4 PLANNER 2021'!S22+'1040 W4 PLANNER 2021'!S28+'1040 W4 PLANNER 2021'!S46</f>
        <v>0</v>
      </c>
      <c r="H20">
        <f>IF(H18=0,0,H19)</f>
        <v>0</v>
      </c>
      <c r="I20">
        <v>0</v>
      </c>
    </row>
    <row r="21" spans="1:9" x14ac:dyDescent="0.25">
      <c r="A21">
        <v>6</v>
      </c>
      <c r="B21" s="23">
        <f>MIN(B18,B19,B20)</f>
        <v>0</v>
      </c>
      <c r="C21" t="s">
        <v>116</v>
      </c>
      <c r="E21" s="33" t="s">
        <v>24</v>
      </c>
      <c r="H21">
        <f>IF((H18=1)*(H19&gt;3000),3000,H19)</f>
        <v>0</v>
      </c>
      <c r="I21">
        <v>1</v>
      </c>
    </row>
    <row r="22" spans="1:9" x14ac:dyDescent="0.25">
      <c r="A22">
        <v>7</v>
      </c>
      <c r="B22" s="23">
        <f>'1040 W4 PLANNER 2021'!S69</f>
        <v>0</v>
      </c>
      <c r="C22" t="s">
        <v>117</v>
      </c>
      <c r="H22">
        <f>IF((H18=2)*(H19&gt;6000),6000,H19)</f>
        <v>0</v>
      </c>
      <c r="I22">
        <v>2</v>
      </c>
    </row>
    <row r="23" spans="1:9" x14ac:dyDescent="0.25">
      <c r="A23">
        <v>8</v>
      </c>
      <c r="B23">
        <f>LOOKUP(B22,{0,15001,17001,19001,21001,23001,25001,27001,29001,31001,33001,35001,37001,39001,41001,43001,45001,10000000},{0.35,0.34,0.33,0.32,0.31,0.3,0.29,0.28,0.27,0.26,0.25,0.24,0.23,0.22,0.21,0.2,0.2})</f>
        <v>0.35</v>
      </c>
      <c r="C23" t="s">
        <v>118</v>
      </c>
      <c r="H23">
        <f>MIN(H20,H21,H22)</f>
        <v>0</v>
      </c>
      <c r="I23" t="s">
        <v>250</v>
      </c>
    </row>
    <row r="24" spans="1:9" x14ac:dyDescent="0.25">
      <c r="A24">
        <v>9</v>
      </c>
      <c r="B24" s="23">
        <f>B23*B21</f>
        <v>0</v>
      </c>
      <c r="C24" t="s">
        <v>119</v>
      </c>
    </row>
    <row r="25" spans="1:9" x14ac:dyDescent="0.25">
      <c r="A25">
        <v>10</v>
      </c>
      <c r="B25" s="23">
        <f>'1040 W4 PLANNER 2021'!S91</f>
        <v>0</v>
      </c>
      <c r="C25" t="s">
        <v>120</v>
      </c>
    </row>
    <row r="26" spans="1:9" x14ac:dyDescent="0.25">
      <c r="A26">
        <v>11</v>
      </c>
      <c r="B26" s="23">
        <f>MIN(B24,B25)</f>
        <v>0</v>
      </c>
      <c r="C26" t="s">
        <v>121</v>
      </c>
    </row>
    <row r="27" spans="1:9" x14ac:dyDescent="0.25">
      <c r="B27">
        <f>IF(B22&lt;=0,0,B26)</f>
        <v>0</v>
      </c>
    </row>
    <row r="28" spans="1:9" x14ac:dyDescent="0.25">
      <c r="A28" t="s">
        <v>112</v>
      </c>
      <c r="B28" s="34">
        <v>2021</v>
      </c>
    </row>
    <row r="29" spans="1:9" x14ac:dyDescent="0.25">
      <c r="A29">
        <v>1</v>
      </c>
      <c r="B29" s="23">
        <f>'1040 W4 PLANNER 2021'!U4*2000</f>
        <v>0</v>
      </c>
      <c r="C29" t="s">
        <v>268</v>
      </c>
    </row>
    <row r="30" spans="1:9" x14ac:dyDescent="0.25">
      <c r="B30" s="23">
        <f>'1040 W4 PLANNER 2021'!U5*500</f>
        <v>0</v>
      </c>
      <c r="C30" t="s">
        <v>269</v>
      </c>
    </row>
    <row r="31" spans="1:9" x14ac:dyDescent="0.25">
      <c r="B31" s="23">
        <f>B29+B30</f>
        <v>0</v>
      </c>
      <c r="C31" t="s">
        <v>171</v>
      </c>
    </row>
    <row r="32" spans="1:9" x14ac:dyDescent="0.25">
      <c r="A32">
        <v>2</v>
      </c>
      <c r="B32" s="23">
        <f>'1040 W4 PLANNER 2021'!S69</f>
        <v>0</v>
      </c>
      <c r="C32" t="s">
        <v>122</v>
      </c>
    </row>
    <row r="33" spans="1:3" x14ac:dyDescent="0.25">
      <c r="A33">
        <v>3</v>
      </c>
      <c r="B33" s="23">
        <f>IF(D1=2,400000,200000)</f>
        <v>400000</v>
      </c>
      <c r="C33" t="s">
        <v>123</v>
      </c>
    </row>
    <row r="34" spans="1:3" x14ac:dyDescent="0.25">
      <c r="A34">
        <v>4</v>
      </c>
      <c r="B34" s="23">
        <f>IF(B32&gt;B33,B32-B33,0)</f>
        <v>0</v>
      </c>
      <c r="C34" t="s">
        <v>124</v>
      </c>
    </row>
    <row r="35" spans="1:3" x14ac:dyDescent="0.25">
      <c r="B35" s="23">
        <f>ROUND(B34/1000,0)*1000</f>
        <v>0</v>
      </c>
      <c r="C35" t="s">
        <v>125</v>
      </c>
    </row>
    <row r="36" spans="1:3" x14ac:dyDescent="0.25">
      <c r="A36">
        <v>5</v>
      </c>
      <c r="B36" s="23">
        <f>B35*0.05</f>
        <v>0</v>
      </c>
      <c r="C36" t="s">
        <v>126</v>
      </c>
    </row>
    <row r="37" spans="1:3" x14ac:dyDescent="0.25">
      <c r="A37">
        <v>6</v>
      </c>
      <c r="B37" s="23">
        <f>IF(B36&gt;B31,0,B31-B36)</f>
        <v>0</v>
      </c>
      <c r="C37" t="s">
        <v>127</v>
      </c>
    </row>
    <row r="38" spans="1:3" x14ac:dyDescent="0.25">
      <c r="A38">
        <v>7</v>
      </c>
      <c r="B38" s="23">
        <f>'1040 W4 PLANNER 2021'!S91</f>
        <v>0</v>
      </c>
      <c r="C38" t="s">
        <v>128</v>
      </c>
    </row>
    <row r="39" spans="1:3" x14ac:dyDescent="0.25">
      <c r="A39">
        <v>8</v>
      </c>
      <c r="B39" s="23">
        <f>SUM('1040 W4 PLANNER 2021'!S93:U96)</f>
        <v>0</v>
      </c>
      <c r="C39" t="s">
        <v>129</v>
      </c>
    </row>
    <row r="40" spans="1:3" x14ac:dyDescent="0.25">
      <c r="A40">
        <v>9</v>
      </c>
      <c r="B40" s="23">
        <f>B38-B39</f>
        <v>0</v>
      </c>
      <c r="C40" t="s">
        <v>130</v>
      </c>
    </row>
    <row r="41" spans="1:3" x14ac:dyDescent="0.25">
      <c r="A41">
        <v>10</v>
      </c>
      <c r="B41" s="23">
        <f>MIN(B37,B40)</f>
        <v>0</v>
      </c>
      <c r="C41" t="s">
        <v>131</v>
      </c>
    </row>
    <row r="42" spans="1:3" x14ac:dyDescent="0.25">
      <c r="A42" t="s">
        <v>140</v>
      </c>
      <c r="B42" s="23">
        <f>IF(B41&lt;0,0,B41)</f>
        <v>0</v>
      </c>
    </row>
    <row r="43" spans="1:3" x14ac:dyDescent="0.25">
      <c r="A43" s="34">
        <v>2021</v>
      </c>
      <c r="B43" s="23"/>
    </row>
    <row r="44" spans="1:3" x14ac:dyDescent="0.25">
      <c r="A44" t="s">
        <v>175</v>
      </c>
      <c r="B44" s="23"/>
    </row>
    <row r="45" spans="1:3" x14ac:dyDescent="0.25">
      <c r="A45">
        <v>1</v>
      </c>
      <c r="B45" s="23">
        <f>B29</f>
        <v>0</v>
      </c>
      <c r="C45" t="s">
        <v>270</v>
      </c>
    </row>
    <row r="46" spans="1:3" x14ac:dyDescent="0.25">
      <c r="A46">
        <v>2</v>
      </c>
      <c r="B46" s="23">
        <f>MIN(B45,D10)</f>
        <v>0</v>
      </c>
      <c r="C46" t="s">
        <v>172</v>
      </c>
    </row>
    <row r="47" spans="1:3" x14ac:dyDescent="0.25">
      <c r="A47">
        <v>3</v>
      </c>
      <c r="B47" s="23">
        <f>IF(B45&gt;B46,B45-B46,0)</f>
        <v>0</v>
      </c>
      <c r="C47" t="s">
        <v>173</v>
      </c>
    </row>
    <row r="48" spans="1:3" x14ac:dyDescent="0.25">
      <c r="A48" t="s">
        <v>24</v>
      </c>
      <c r="B48" s="23">
        <f>'1040 W4 PLANNER 2021'!U4*1400</f>
        <v>0</v>
      </c>
      <c r="C48" t="s">
        <v>252</v>
      </c>
    </row>
    <row r="49" spans="1:5" x14ac:dyDescent="0.25">
      <c r="B49" s="23">
        <f>IF(B47&lt;B48,B47,B48)</f>
        <v>0</v>
      </c>
      <c r="C49" t="s">
        <v>253</v>
      </c>
    </row>
    <row r="50" spans="1:5" x14ac:dyDescent="0.25">
      <c r="B50" s="19"/>
    </row>
    <row r="52" spans="1:5" x14ac:dyDescent="0.25">
      <c r="B52" s="19"/>
    </row>
    <row r="53" spans="1:5" x14ac:dyDescent="0.25">
      <c r="A53" s="28"/>
      <c r="B53" s="19"/>
      <c r="E53" s="34"/>
    </row>
    <row r="55" spans="1:5" x14ac:dyDescent="0.25">
      <c r="B55" s="19"/>
    </row>
    <row r="56" spans="1:5" x14ac:dyDescent="0.25">
      <c r="B56" s="19"/>
    </row>
    <row r="57" spans="1:5" x14ac:dyDescent="0.25">
      <c r="B57" s="19"/>
    </row>
    <row r="58" spans="1:5" x14ac:dyDescent="0.25">
      <c r="B58" s="23"/>
    </row>
  </sheetData>
  <dataValidations disablePrompts="1" count="1">
    <dataValidation type="whole" allowBlank="1" showInputMessage="1" showErrorMessage="1" error="Enter a number between 0 and 2_x000a_" prompt="Enter a number between 0 and 2" sqref="H18" xr:uid="{00000000-0002-0000-0400-000000000000}">
      <formula1>0</formula1>
      <formula2>2</formula2>
    </dataValidation>
  </dataValidation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K43"/>
  <sheetViews>
    <sheetView workbookViewId="0">
      <selection activeCell="K8" sqref="K8"/>
    </sheetView>
  </sheetViews>
  <sheetFormatPr defaultRowHeight="15" x14ac:dyDescent="0.25"/>
  <cols>
    <col min="1" max="1" width="7.28515625" customWidth="1"/>
    <col min="2" max="2" width="13.85546875" customWidth="1"/>
    <col min="4" max="4" width="9.5703125" bestFit="1" customWidth="1"/>
    <col min="6" max="6" width="10.28515625" bestFit="1" customWidth="1"/>
    <col min="8" max="8" width="11.5703125" bestFit="1" customWidth="1"/>
  </cols>
  <sheetData>
    <row r="1" spans="1:11" x14ac:dyDescent="0.25">
      <c r="A1" t="s">
        <v>132</v>
      </c>
      <c r="D1" t="s">
        <v>52</v>
      </c>
      <c r="E1" s="34">
        <f>'1040 W4 PLANNER 2021'!Q8</f>
        <v>2</v>
      </c>
      <c r="G1" t="s">
        <v>134</v>
      </c>
      <c r="I1" s="80" t="s">
        <v>436</v>
      </c>
      <c r="J1" s="34"/>
    </row>
    <row r="2" spans="1:11" x14ac:dyDescent="0.25">
      <c r="H2" s="34">
        <f>'1040 W4 PLANNER 2021'!L113</f>
        <v>0</v>
      </c>
    </row>
    <row r="3" spans="1:11" x14ac:dyDescent="0.25">
      <c r="A3">
        <v>1</v>
      </c>
      <c r="B3" s="38">
        <f>H11</f>
        <v>0</v>
      </c>
      <c r="C3" t="s">
        <v>133</v>
      </c>
    </row>
    <row r="4" spans="1:11" x14ac:dyDescent="0.25">
      <c r="A4">
        <v>2</v>
      </c>
      <c r="B4" s="43">
        <f>H35</f>
        <v>0</v>
      </c>
      <c r="C4" t="s">
        <v>150</v>
      </c>
      <c r="G4" t="s">
        <v>79</v>
      </c>
    </row>
    <row r="5" spans="1:11" x14ac:dyDescent="0.25">
      <c r="A5">
        <v>3</v>
      </c>
      <c r="B5" s="38">
        <f>'1040 W4 PLANNER 2021'!S69</f>
        <v>0</v>
      </c>
      <c r="C5" t="s">
        <v>122</v>
      </c>
      <c r="G5" t="s">
        <v>165</v>
      </c>
      <c r="H5" s="36">
        <f>'1040 W4 PLANNER 2021'!S21</f>
        <v>0</v>
      </c>
    </row>
    <row r="6" spans="1:11" x14ac:dyDescent="0.25">
      <c r="A6">
        <v>4</v>
      </c>
      <c r="B6" s="23">
        <f>IF(B5=B3,1,0)</f>
        <v>1</v>
      </c>
      <c r="C6" t="s">
        <v>154</v>
      </c>
      <c r="G6" t="s">
        <v>166</v>
      </c>
      <c r="H6" s="36">
        <f>'1040 W4 PLANNER 2021'!S22</f>
        <v>0</v>
      </c>
      <c r="I6" t="s">
        <v>24</v>
      </c>
    </row>
    <row r="7" spans="1:11" x14ac:dyDescent="0.25">
      <c r="A7" t="s">
        <v>135</v>
      </c>
      <c r="B7" s="23">
        <f>IF(E1=2,14700,8800)</f>
        <v>14700</v>
      </c>
      <c r="C7" t="s">
        <v>156</v>
      </c>
      <c r="G7" t="s">
        <v>167</v>
      </c>
      <c r="H7" s="36">
        <f>'1040 W4 PLANNER 2021'!S27</f>
        <v>0</v>
      </c>
    </row>
    <row r="8" spans="1:11" x14ac:dyDescent="0.25">
      <c r="A8" t="s">
        <v>136</v>
      </c>
      <c r="B8" s="23">
        <f>IF(E1=2,25250,19350)</f>
        <v>25250</v>
      </c>
      <c r="C8" t="s">
        <v>156</v>
      </c>
      <c r="G8" t="s">
        <v>168</v>
      </c>
      <c r="H8" s="36">
        <f>'1040 W4 PLANNER 2021'!S28</f>
        <v>0</v>
      </c>
    </row>
    <row r="9" spans="1:11" x14ac:dyDescent="0.25">
      <c r="A9" t="s">
        <v>135</v>
      </c>
      <c r="B9" s="23" t="b">
        <f>AND(H2=0,B5&lt;B7)</f>
        <v>1</v>
      </c>
      <c r="G9" t="s">
        <v>169</v>
      </c>
      <c r="H9" s="36">
        <f>'1040 W4 PLANNER 2021'!S45</f>
        <v>0</v>
      </c>
      <c r="K9" t="s">
        <v>24</v>
      </c>
    </row>
    <row r="10" spans="1:11" x14ac:dyDescent="0.25">
      <c r="A10" t="s">
        <v>136</v>
      </c>
      <c r="B10" s="23" t="b">
        <f>IF(H2&gt;0,B8&gt;B5)</f>
        <v>0</v>
      </c>
      <c r="G10" t="s">
        <v>170</v>
      </c>
      <c r="H10" s="36">
        <f>'1040 W4 PLANNER 2021'!S46</f>
        <v>0</v>
      </c>
    </row>
    <row r="11" spans="1:11" x14ac:dyDescent="0.25">
      <c r="A11" t="s">
        <v>137</v>
      </c>
      <c r="B11" s="23" t="b">
        <f>OR(B10=TRUE,B9=TRUE)</f>
        <v>1</v>
      </c>
      <c r="C11" t="s">
        <v>160</v>
      </c>
      <c r="G11" t="s">
        <v>171</v>
      </c>
      <c r="H11" s="36">
        <f>SUM(H5:H10)</f>
        <v>0</v>
      </c>
    </row>
    <row r="12" spans="1:11" x14ac:dyDescent="0.25">
      <c r="B12" s="23"/>
    </row>
    <row r="13" spans="1:11" x14ac:dyDescent="0.25">
      <c r="A13" t="s">
        <v>152</v>
      </c>
      <c r="B13" s="43">
        <f>H22</f>
        <v>0</v>
      </c>
      <c r="C13" t="s">
        <v>151</v>
      </c>
      <c r="F13" t="s">
        <v>161</v>
      </c>
    </row>
    <row r="14" spans="1:11" x14ac:dyDescent="0.25">
      <c r="A14" t="s">
        <v>153</v>
      </c>
      <c r="B14" s="19">
        <f>IF(B6=1,B4,0)</f>
        <v>0</v>
      </c>
      <c r="C14" t="s">
        <v>155</v>
      </c>
      <c r="F14" t="b">
        <f>IF(B6=1,TRUE)</f>
        <v>1</v>
      </c>
    </row>
    <row r="15" spans="1:11" x14ac:dyDescent="0.25">
      <c r="A15" t="s">
        <v>157</v>
      </c>
      <c r="B15" s="23">
        <f>IF(B11=TRUE,B4,0)</f>
        <v>0</v>
      </c>
      <c r="C15" t="s">
        <v>158</v>
      </c>
      <c r="F15" s="19" t="b">
        <f>B11</f>
        <v>1</v>
      </c>
    </row>
    <row r="16" spans="1:11" x14ac:dyDescent="0.25">
      <c r="A16" t="s">
        <v>159</v>
      </c>
      <c r="B16" s="23">
        <f>MIN(B13,B4)</f>
        <v>0</v>
      </c>
      <c r="C16" t="s">
        <v>162</v>
      </c>
      <c r="F16" t="b">
        <f>NOT(B11)</f>
        <v>0</v>
      </c>
    </row>
    <row r="17" spans="1:8" x14ac:dyDescent="0.25">
      <c r="A17" t="s">
        <v>163</v>
      </c>
      <c r="B17" s="43">
        <f>IF(F14=TRUE,B14,IF(F15=TRUE,B15,B16))</f>
        <v>0</v>
      </c>
      <c r="C17" t="s">
        <v>164</v>
      </c>
    </row>
    <row r="18" spans="1:8" x14ac:dyDescent="0.25">
      <c r="B18" s="43"/>
    </row>
    <row r="19" spans="1:8" x14ac:dyDescent="0.25">
      <c r="A19" t="s">
        <v>117</v>
      </c>
      <c r="B19" s="23"/>
    </row>
    <row r="20" spans="1:8" x14ac:dyDescent="0.25">
      <c r="A20" t="s">
        <v>142</v>
      </c>
      <c r="B20" s="23"/>
    </row>
    <row r="21" spans="1:8" x14ac:dyDescent="0.25">
      <c r="A21" t="s">
        <v>138</v>
      </c>
      <c r="B21" s="23"/>
      <c r="C21" t="s">
        <v>141</v>
      </c>
      <c r="D21" t="s">
        <v>141</v>
      </c>
      <c r="E21" t="s">
        <v>143</v>
      </c>
      <c r="G21" t="s">
        <v>144</v>
      </c>
      <c r="H21" t="s">
        <v>86</v>
      </c>
    </row>
    <row r="22" spans="1:8" x14ac:dyDescent="0.25">
      <c r="A22">
        <v>0</v>
      </c>
      <c r="B22" s="23">
        <f>IF(B5&lt;6920,B5*0.0765,IF(B5&gt;15820,0,(15820-B5)*0.0765))</f>
        <v>0</v>
      </c>
      <c r="C22" t="b">
        <f>AND(B5&gt;7000,B5&lt;8800)</f>
        <v>0</v>
      </c>
      <c r="D22">
        <f>IF(C22=TRUE,538,B22)</f>
        <v>0</v>
      </c>
      <c r="E22">
        <f>IF(H2=0,D22,IF(H2=1,D23,IF(H2=2,D24,D25)))</f>
        <v>0</v>
      </c>
      <c r="G22">
        <f>IF(E1=2,E27,E22)</f>
        <v>0</v>
      </c>
      <c r="H22" s="38">
        <f>ROUND(G22,0)</f>
        <v>0</v>
      </c>
    </row>
    <row r="23" spans="1:8" x14ac:dyDescent="0.25">
      <c r="A23">
        <v>1</v>
      </c>
      <c r="B23" s="23">
        <f>IF(B5&lt;10500,B5*0.34,IF(B5&gt;41756,0,(41756-B5)*0.1598))</f>
        <v>0</v>
      </c>
      <c r="C23" t="b">
        <f>AND(B5&gt;10350,B5&lt;19350)</f>
        <v>0</v>
      </c>
      <c r="D23" s="36">
        <f>IF(C23=TRUE,3584,B23)</f>
        <v>0</v>
      </c>
    </row>
    <row r="24" spans="1:8" x14ac:dyDescent="0.25">
      <c r="A24">
        <v>2</v>
      </c>
      <c r="B24" s="23">
        <f>IF(B5&lt;14800,B5*0.4,IF(B5&gt;47440,0,(47440-B5)*0.2106))</f>
        <v>0</v>
      </c>
      <c r="C24" t="b">
        <f>AND(B5&gt;14800,B5&lt;19350)</f>
        <v>0</v>
      </c>
      <c r="D24">
        <f>IF(C24=TRUE,5920,B24)</f>
        <v>0</v>
      </c>
    </row>
    <row r="25" spans="1:8" x14ac:dyDescent="0.25">
      <c r="A25" s="37" t="s">
        <v>139</v>
      </c>
      <c r="B25" s="23">
        <f>IF(B5&lt;14800,B5*0.45,IF(B5&gt;50954,0,(50954-B5)*0.2106))</f>
        <v>0</v>
      </c>
      <c r="C25" t="b">
        <f>AND(B5&gt;14800,B5&lt;19350)</f>
        <v>0</v>
      </c>
      <c r="D25">
        <f>IF(C25=TRUE,6660,B25)</f>
        <v>0</v>
      </c>
    </row>
    <row r="26" spans="1:8" x14ac:dyDescent="0.25">
      <c r="A26" t="s">
        <v>96</v>
      </c>
      <c r="B26" s="23"/>
    </row>
    <row r="27" spans="1:8" x14ac:dyDescent="0.25">
      <c r="A27">
        <v>0</v>
      </c>
      <c r="B27" s="23">
        <f>IF(B5&lt;6920,B5*0.0765,IF(B5&gt;21710,0,(21710-B5)*0.0765))</f>
        <v>0</v>
      </c>
      <c r="C27" t="b">
        <f>AND(B5&gt;10500,B5&lt;14700)</f>
        <v>0</v>
      </c>
      <c r="D27">
        <f>IF(C27=TRUE,538,B27)</f>
        <v>0</v>
      </c>
      <c r="E27">
        <f>IF(H2=0,D27,IF(H2=1,D28,IF(H2=2,D29,D30)))</f>
        <v>0</v>
      </c>
    </row>
    <row r="28" spans="1:8" x14ac:dyDescent="0.25">
      <c r="A28">
        <v>1</v>
      </c>
      <c r="B28" s="23">
        <f>IF(B5&lt;10500,B5*0.34,IF(B5&gt;47400,0,(47400-B5)*0.1598))</f>
        <v>0</v>
      </c>
      <c r="C28" t="b">
        <f>AND(B5&gt;10500,B5&lt;25250)</f>
        <v>0</v>
      </c>
      <c r="D28" s="36">
        <f>IF(C28=TRUE,3584,B28)</f>
        <v>0</v>
      </c>
    </row>
    <row r="29" spans="1:8" x14ac:dyDescent="0.25">
      <c r="A29">
        <v>2</v>
      </c>
      <c r="B29" s="23">
        <f>IF(B5&lt;14800,B5*0.4,IF(B5&gt;53330,0,(53330-B5)*0.2106))</f>
        <v>0</v>
      </c>
      <c r="C29" t="b">
        <f>AND(B5&gt;148500,B5&lt;24850)</f>
        <v>0</v>
      </c>
      <c r="D29">
        <f>IF(C29=TRUE,5920,B29)</f>
        <v>0</v>
      </c>
    </row>
    <row r="30" spans="1:8" x14ac:dyDescent="0.25">
      <c r="A30" s="37" t="s">
        <v>139</v>
      </c>
      <c r="B30" s="23">
        <f>IF(B5&lt;14800,B5*0.45,IF(B5&gt;56844,0,(56844-B5)*0.2106))</f>
        <v>0</v>
      </c>
      <c r="C30" t="b">
        <f>AND(B5&gt;14800,B5&lt;25250)</f>
        <v>0</v>
      </c>
      <c r="D30">
        <f>IF(C30=TRUE,6660,B30)</f>
        <v>0</v>
      </c>
    </row>
    <row r="31" spans="1:8" x14ac:dyDescent="0.25">
      <c r="B31" s="23"/>
    </row>
    <row r="32" spans="1:8" x14ac:dyDescent="0.25">
      <c r="A32" t="s">
        <v>149</v>
      </c>
      <c r="B32" s="23"/>
    </row>
    <row r="33" spans="1:8" x14ac:dyDescent="0.25">
      <c r="A33" t="s">
        <v>133</v>
      </c>
      <c r="B33" s="23"/>
    </row>
    <row r="34" spans="1:8" x14ac:dyDescent="0.25">
      <c r="A34" t="s">
        <v>138</v>
      </c>
      <c r="B34" s="23"/>
      <c r="C34" t="s">
        <v>141</v>
      </c>
      <c r="D34" t="s">
        <v>141</v>
      </c>
      <c r="E34" t="s">
        <v>143</v>
      </c>
      <c r="G34" t="s">
        <v>144</v>
      </c>
      <c r="H34" t="s">
        <v>86</v>
      </c>
    </row>
    <row r="35" spans="1:8" x14ac:dyDescent="0.25">
      <c r="A35">
        <v>0</v>
      </c>
      <c r="B35" s="23">
        <f>IF(B3&lt;6920,B3*0.0765,IF(B3&gt;15820,0,(15820-B3)*0.0765))</f>
        <v>0</v>
      </c>
      <c r="C35" t="b">
        <f>AND(B3&gt;7000,B3&lt;8800)</f>
        <v>0</v>
      </c>
      <c r="D35">
        <f>IF(C35=TRUE,538,B35)</f>
        <v>0</v>
      </c>
      <c r="E35">
        <f>IF(H2=0,D35,IF(H2=1,D36,IF(H2=2,D37,D38)))</f>
        <v>0</v>
      </c>
      <c r="G35">
        <f>IF(E1=2,E40,E35)</f>
        <v>0</v>
      </c>
      <c r="H35" s="38">
        <f>ROUND(G35,0)</f>
        <v>0</v>
      </c>
    </row>
    <row r="36" spans="1:8" x14ac:dyDescent="0.25">
      <c r="A36">
        <v>1</v>
      </c>
      <c r="B36" s="23">
        <f>IF(B3&lt;10500,B3*0.34,IF(B3&gt;41756,0,(41756-B3)*0.1598))</f>
        <v>0</v>
      </c>
      <c r="C36" t="b">
        <f>AND(B3&gt;10350,B3&lt;19350)</f>
        <v>0</v>
      </c>
      <c r="D36" s="36">
        <f>IF(C36=TRUE,3584,B36)</f>
        <v>0</v>
      </c>
    </row>
    <row r="37" spans="1:8" x14ac:dyDescent="0.25">
      <c r="A37">
        <v>2</v>
      </c>
      <c r="B37" s="23">
        <f>IF(B3&lt;14800,B3*0.4,IF(B3&gt;47440,0,(47440-B3)*0.2106))</f>
        <v>0</v>
      </c>
      <c r="C37" t="b">
        <f>AND(B3&gt;14800,B3&lt;19350)</f>
        <v>0</v>
      </c>
      <c r="D37">
        <f>IF(C37=TRUE,5920,B37)</f>
        <v>0</v>
      </c>
    </row>
    <row r="38" spans="1:8" x14ac:dyDescent="0.25">
      <c r="A38" s="37" t="s">
        <v>139</v>
      </c>
      <c r="B38" s="23">
        <f>IF(B3&lt;14800,B3*0.45,IF(B3&gt;50954,0,(50954-B3)*0.2106))</f>
        <v>0</v>
      </c>
      <c r="C38" t="b">
        <f>AND(B3&gt;14800,B3&lt;19350)</f>
        <v>0</v>
      </c>
      <c r="D38">
        <f>IF(C38=TRUE,6660,B38)</f>
        <v>0</v>
      </c>
    </row>
    <row r="39" spans="1:8" x14ac:dyDescent="0.25">
      <c r="A39" t="s">
        <v>96</v>
      </c>
      <c r="B39" s="23"/>
    </row>
    <row r="40" spans="1:8" x14ac:dyDescent="0.25">
      <c r="A40">
        <v>0</v>
      </c>
      <c r="B40" s="23">
        <f>IF(B3&lt;6920,B3*0.0765,IF(B3&gt;21710,0,(21710-B3)*0.0765))</f>
        <v>0</v>
      </c>
      <c r="C40" t="b">
        <f>AND(B3&gt;10500,B3&lt;14700)</f>
        <v>0</v>
      </c>
      <c r="D40">
        <f>IF(C40=TRUE,538,B40)</f>
        <v>0</v>
      </c>
      <c r="E40">
        <f>IF(H2=0,D40,IF(H2=1,D41,IF(H2=2,D42,D43)))</f>
        <v>0</v>
      </c>
    </row>
    <row r="41" spans="1:8" x14ac:dyDescent="0.25">
      <c r="A41">
        <v>1</v>
      </c>
      <c r="B41" s="23">
        <f>IF(B3&lt;10500,B3*0.34,IF(B3&gt;47400,0,(47400-B3)*0.1598))</f>
        <v>0</v>
      </c>
      <c r="C41" t="b">
        <f>AND(B3&gt;10500,B3&lt;25250)</f>
        <v>0</v>
      </c>
      <c r="D41" s="36">
        <f>IF(C41=TRUE,3584,B41)</f>
        <v>0</v>
      </c>
    </row>
    <row r="42" spans="1:8" x14ac:dyDescent="0.25">
      <c r="A42">
        <v>2</v>
      </c>
      <c r="B42" s="23">
        <f>IF(B3&lt;14800,B3*0.4,IF(B3&gt;53330,0,(53330-B3)*0.2106))</f>
        <v>0</v>
      </c>
      <c r="C42" t="b">
        <f>AND(B3&gt;148500,B18&lt;24850)</f>
        <v>0</v>
      </c>
      <c r="D42">
        <f>IF(C42=TRUE,5920,B42)</f>
        <v>0</v>
      </c>
    </row>
    <row r="43" spans="1:8" x14ac:dyDescent="0.25">
      <c r="A43" s="37" t="s">
        <v>139</v>
      </c>
      <c r="B43" s="23">
        <f>IF(B3&lt;14800,B3*0.45,IF(B3&gt;56844,0,(56844-B3)*0.2106))</f>
        <v>0</v>
      </c>
      <c r="C43" t="b">
        <f>AND(B3&gt;14800,B3&lt;25250)</f>
        <v>0</v>
      </c>
      <c r="D43">
        <f>IF(C43=TRUE,6660,B43)</f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N35"/>
  <sheetViews>
    <sheetView workbookViewId="0">
      <selection activeCell="D13" sqref="D13"/>
    </sheetView>
  </sheetViews>
  <sheetFormatPr defaultRowHeight="15" x14ac:dyDescent="0.25"/>
  <cols>
    <col min="1" max="1" width="7.28515625" customWidth="1"/>
    <col min="2" max="2" width="33.5703125" customWidth="1"/>
    <col min="4" max="4" width="10.28515625" bestFit="1" customWidth="1"/>
    <col min="7" max="7" width="10.5703125" bestFit="1" customWidth="1"/>
    <col min="14" max="14" width="10.5703125" bestFit="1" customWidth="1"/>
  </cols>
  <sheetData>
    <row r="1" spans="1:14" x14ac:dyDescent="0.25">
      <c r="C1" s="34">
        <v>220</v>
      </c>
    </row>
    <row r="3" spans="1:14" x14ac:dyDescent="0.25">
      <c r="F3" t="s">
        <v>210</v>
      </c>
      <c r="L3" t="s">
        <v>203</v>
      </c>
    </row>
    <row r="4" spans="1:14" x14ac:dyDescent="0.25">
      <c r="A4" t="s">
        <v>177</v>
      </c>
      <c r="B4" s="44" t="s">
        <v>178</v>
      </c>
      <c r="C4" s="2"/>
      <c r="D4" s="2"/>
      <c r="K4" t="s">
        <v>95</v>
      </c>
      <c r="L4">
        <f>D5</f>
        <v>2</v>
      </c>
    </row>
    <row r="5" spans="1:14" x14ac:dyDescent="0.25">
      <c r="A5" s="39">
        <v>1</v>
      </c>
      <c r="B5" s="2" t="s">
        <v>179</v>
      </c>
      <c r="C5" s="2"/>
      <c r="D5" s="50">
        <f>'1040 W4 PLANNER 2021'!Q8</f>
        <v>2</v>
      </c>
      <c r="K5">
        <v>1</v>
      </c>
      <c r="L5">
        <f>IF(L$4=1,25000,0)</f>
        <v>0</v>
      </c>
    </row>
    <row r="6" spans="1:14" x14ac:dyDescent="0.25">
      <c r="A6" s="39">
        <v>2</v>
      </c>
      <c r="B6" s="2" t="s">
        <v>180</v>
      </c>
      <c r="C6" s="2"/>
      <c r="D6" s="50">
        <f>SUM('1040 W4 PLANNER 2021'!U4+'1040 W4 PLANNER 2021'!U5)</f>
        <v>0</v>
      </c>
      <c r="K6">
        <v>2</v>
      </c>
      <c r="L6">
        <f>IF(L$4=2,32000,0)</f>
        <v>32000</v>
      </c>
    </row>
    <row r="7" spans="1:14" x14ac:dyDescent="0.25">
      <c r="A7" s="39"/>
      <c r="B7" s="2" t="s">
        <v>181</v>
      </c>
      <c r="C7" s="2"/>
      <c r="D7" s="50">
        <f>'1040 W4 PLANNER 2021'!P4</f>
        <v>0</v>
      </c>
      <c r="K7">
        <v>3</v>
      </c>
      <c r="L7">
        <f>IF(L$4=3,16000,0)</f>
        <v>0</v>
      </c>
    </row>
    <row r="8" spans="1:14" x14ac:dyDescent="0.25">
      <c r="A8" s="39"/>
      <c r="B8" s="2" t="s">
        <v>182</v>
      </c>
      <c r="C8" s="2"/>
      <c r="D8" s="50">
        <f>'1040 W4 PLANNER 2021'!P5</f>
        <v>0</v>
      </c>
      <c r="K8">
        <v>4</v>
      </c>
      <c r="L8">
        <f>IF(L$4=4,32000,0)</f>
        <v>0</v>
      </c>
    </row>
    <row r="9" spans="1:14" x14ac:dyDescent="0.25">
      <c r="A9" s="39">
        <v>4</v>
      </c>
      <c r="B9" s="2" t="s">
        <v>183</v>
      </c>
      <c r="C9" s="25"/>
      <c r="D9" s="51">
        <f>'1040 W4 PLANNER 2021'!S69</f>
        <v>0</v>
      </c>
      <c r="K9">
        <v>5</v>
      </c>
      <c r="L9">
        <f>IF(L$4=5,32000,0)</f>
        <v>0</v>
      </c>
    </row>
    <row r="10" spans="1:14" x14ac:dyDescent="0.25">
      <c r="A10" s="39">
        <v>5</v>
      </c>
      <c r="B10" s="2" t="s">
        <v>184</v>
      </c>
      <c r="C10" s="25"/>
      <c r="D10" s="51">
        <f>'1040 W4 PLANNER 2021'!S144</f>
        <v>0</v>
      </c>
      <c r="L10" s="48">
        <f>SUM(L5:L9)</f>
        <v>32000</v>
      </c>
      <c r="N10" t="s">
        <v>114</v>
      </c>
    </row>
    <row r="11" spans="1:14" x14ac:dyDescent="0.25">
      <c r="A11" s="151">
        <v>7</v>
      </c>
      <c r="B11" s="2" t="s">
        <v>438</v>
      </c>
      <c r="C11" s="2"/>
      <c r="D11" s="51">
        <f>'1040 W4 PLANNER 2021'!S25</f>
        <v>0</v>
      </c>
      <c r="K11" t="s">
        <v>204</v>
      </c>
      <c r="L11" t="s">
        <v>24</v>
      </c>
      <c r="N11" s="23">
        <f>D9+D10</f>
        <v>0</v>
      </c>
    </row>
    <row r="12" spans="1:14" x14ac:dyDescent="0.25">
      <c r="A12" s="39">
        <v>8</v>
      </c>
      <c r="B12" s="2" t="s">
        <v>185</v>
      </c>
      <c r="C12" s="25"/>
      <c r="D12" s="51">
        <f>'1040 W4 PLANNER 2021'!S146</f>
        <v>0</v>
      </c>
      <c r="G12" t="s">
        <v>205</v>
      </c>
      <c r="H12" t="s">
        <v>206</v>
      </c>
      <c r="I12" s="29" t="s">
        <v>207</v>
      </c>
      <c r="J12" s="30">
        <v>0.06</v>
      </c>
      <c r="K12" t="s">
        <v>116</v>
      </c>
      <c r="L12" t="s">
        <v>24</v>
      </c>
      <c r="N12" s="55">
        <f>L10</f>
        <v>32000</v>
      </c>
    </row>
    <row r="13" spans="1:14" x14ac:dyDescent="0.25">
      <c r="A13" s="39">
        <v>9</v>
      </c>
      <c r="B13" s="2" t="s">
        <v>186</v>
      </c>
      <c r="C13" s="25"/>
      <c r="D13" s="25">
        <f>D9+D10-D11-D12</f>
        <v>0</v>
      </c>
      <c r="F13" t="s">
        <v>208</v>
      </c>
      <c r="G13">
        <f>D7</f>
        <v>0</v>
      </c>
      <c r="H13" s="19">
        <f>C28</f>
        <v>0</v>
      </c>
      <c r="I13">
        <f>IF(G13&gt;64,450,IF(G13&gt;54,288,0))</f>
        <v>0</v>
      </c>
      <c r="J13">
        <f>0.06*H13</f>
        <v>0</v>
      </c>
      <c r="K13">
        <f>IF(G13&gt;64,450,IF(I13&gt;J13,J13,I13))</f>
        <v>0</v>
      </c>
      <c r="N13" s="23">
        <f>IF(N12&lt;N11,N11-N12,0)</f>
        <v>0</v>
      </c>
    </row>
    <row r="14" spans="1:14" x14ac:dyDescent="0.25">
      <c r="A14" s="39">
        <v>10</v>
      </c>
      <c r="B14" s="2" t="s">
        <v>281</v>
      </c>
      <c r="C14" s="25"/>
      <c r="D14" s="25">
        <f>D13*0.0495</f>
        <v>0</v>
      </c>
      <c r="F14" t="s">
        <v>209</v>
      </c>
      <c r="G14">
        <f>D8</f>
        <v>0</v>
      </c>
      <c r="H14" s="19">
        <f>C29</f>
        <v>0</v>
      </c>
      <c r="I14">
        <f>IF(G14&gt;64,450,IF(G14&gt;54,288,0))</f>
        <v>0</v>
      </c>
      <c r="J14">
        <f>0.06*H14</f>
        <v>0</v>
      </c>
      <c r="K14">
        <f>IF(G14&gt;64,450,IF(I14&gt;J14,J14,I14))</f>
        <v>0</v>
      </c>
      <c r="N14" s="56">
        <f>ROUND(N13*0.025,0)</f>
        <v>0</v>
      </c>
    </row>
    <row r="15" spans="1:14" x14ac:dyDescent="0.25">
      <c r="A15" s="6"/>
      <c r="C15" s="23"/>
      <c r="D15" s="23"/>
      <c r="J15" t="s">
        <v>171</v>
      </c>
      <c r="K15">
        <f>SUM(K13:K14)</f>
        <v>0</v>
      </c>
    </row>
    <row r="16" spans="1:14" x14ac:dyDescent="0.25">
      <c r="A16" s="39">
        <v>11</v>
      </c>
      <c r="B16" s="2" t="s">
        <v>437</v>
      </c>
      <c r="C16" s="25">
        <f>590*D6</f>
        <v>0</v>
      </c>
      <c r="D16" s="25" t="s">
        <v>24</v>
      </c>
      <c r="J16" t="s">
        <v>203</v>
      </c>
      <c r="K16" s="49">
        <f>N14</f>
        <v>0</v>
      </c>
    </row>
    <row r="17" spans="1:11" x14ac:dyDescent="0.25">
      <c r="A17" s="39">
        <v>12</v>
      </c>
      <c r="B17" s="2" t="s">
        <v>187</v>
      </c>
      <c r="C17" s="51">
        <f>'1040 W4 PLANNER 2021'!S85</f>
        <v>25100</v>
      </c>
      <c r="D17" s="25"/>
      <c r="J17" t="s">
        <v>101</v>
      </c>
      <c r="K17">
        <f>IF(K15-K16&gt;0,K15-K16,0)</f>
        <v>0</v>
      </c>
    </row>
    <row r="18" spans="1:11" x14ac:dyDescent="0.25">
      <c r="A18" s="39">
        <v>13</v>
      </c>
      <c r="B18" s="2" t="s">
        <v>188</v>
      </c>
      <c r="C18" s="51">
        <f>'1040 W4 PLANNER 2021'!S74</f>
        <v>0</v>
      </c>
      <c r="D18" s="25"/>
      <c r="K18" s="19"/>
    </row>
    <row r="19" spans="1:11" x14ac:dyDescent="0.25">
      <c r="A19" s="39">
        <v>12</v>
      </c>
      <c r="B19" s="2" t="s">
        <v>189</v>
      </c>
      <c r="C19" s="25">
        <f>C16+C17-C18</f>
        <v>25100</v>
      </c>
      <c r="D19" s="25"/>
      <c r="K19" s="19"/>
    </row>
    <row r="20" spans="1:11" x14ac:dyDescent="0.25">
      <c r="A20" s="39">
        <v>13</v>
      </c>
      <c r="B20" s="2" t="s">
        <v>190</v>
      </c>
      <c r="C20" s="25">
        <f>C19*0.06</f>
        <v>1506</v>
      </c>
      <c r="D20" s="25"/>
      <c r="F20" t="s">
        <v>124</v>
      </c>
    </row>
    <row r="21" spans="1:11" x14ac:dyDescent="0.25">
      <c r="A21" s="6"/>
      <c r="C21" s="23"/>
      <c r="D21" s="23"/>
      <c r="F21" t="s">
        <v>95</v>
      </c>
      <c r="G21">
        <f>D5</f>
        <v>2</v>
      </c>
    </row>
    <row r="22" spans="1:11" x14ac:dyDescent="0.25">
      <c r="A22" s="39">
        <v>14</v>
      </c>
      <c r="B22" s="2" t="s">
        <v>191</v>
      </c>
      <c r="C22" s="25">
        <f>G27</f>
        <v>29758</v>
      </c>
      <c r="D22" s="25"/>
      <c r="F22">
        <v>1</v>
      </c>
      <c r="G22">
        <f>IF(G$21=1,14879,0)</f>
        <v>0</v>
      </c>
    </row>
    <row r="23" spans="1:11" x14ac:dyDescent="0.25">
      <c r="A23" s="39">
        <v>15</v>
      </c>
      <c r="B23" s="2" t="s">
        <v>192</v>
      </c>
      <c r="C23" s="25">
        <f>IF(D13-C22&gt;0,D13-C22,0)</f>
        <v>0</v>
      </c>
      <c r="D23" s="25"/>
      <c r="F23">
        <v>2</v>
      </c>
      <c r="G23">
        <f>IF(G$21=2,29758,0)</f>
        <v>29758</v>
      </c>
    </row>
    <row r="24" spans="1:11" x14ac:dyDescent="0.25">
      <c r="A24" s="39">
        <v>16</v>
      </c>
      <c r="B24" s="2" t="s">
        <v>193</v>
      </c>
      <c r="C24" s="25">
        <f>C23*0.013</f>
        <v>0</v>
      </c>
      <c r="D24" s="25"/>
      <c r="F24">
        <v>3</v>
      </c>
      <c r="G24">
        <f>IF(G$21=3,14879,0)</f>
        <v>0</v>
      </c>
    </row>
    <row r="25" spans="1:11" x14ac:dyDescent="0.25">
      <c r="A25" s="39">
        <v>17</v>
      </c>
      <c r="B25" s="2" t="s">
        <v>194</v>
      </c>
      <c r="C25" s="25">
        <f>IF(C20-C24&gt;0,C20-C24,0)</f>
        <v>1506</v>
      </c>
      <c r="D25" s="25"/>
      <c r="F25">
        <v>4</v>
      </c>
      <c r="G25">
        <f>IF(G$21=4,22318,0)</f>
        <v>0</v>
      </c>
    </row>
    <row r="26" spans="1:11" x14ac:dyDescent="0.25">
      <c r="A26" s="39">
        <v>18</v>
      </c>
      <c r="B26" s="2" t="s">
        <v>195</v>
      </c>
      <c r="C26" s="25"/>
      <c r="D26" s="25">
        <f>IF(D14&gt;C25,D14-C25,0)</f>
        <v>0</v>
      </c>
      <c r="F26">
        <v>5</v>
      </c>
      <c r="G26">
        <f>IF(G$21=5,29758,0)</f>
        <v>0</v>
      </c>
    </row>
    <row r="27" spans="1:11" x14ac:dyDescent="0.25">
      <c r="A27" s="6"/>
      <c r="C27" s="23"/>
      <c r="D27" s="23"/>
      <c r="G27" s="38">
        <f>SUM(G22:G26)</f>
        <v>29758</v>
      </c>
    </row>
    <row r="28" spans="1:11" x14ac:dyDescent="0.25">
      <c r="A28" s="39"/>
      <c r="B28" s="2" t="s">
        <v>196</v>
      </c>
      <c r="C28" s="45">
        <f>'1040 W4 PLANNER 2021'!S40</f>
        <v>0</v>
      </c>
      <c r="D28" s="2"/>
    </row>
    <row r="29" spans="1:11" x14ac:dyDescent="0.25">
      <c r="A29" s="39"/>
      <c r="B29" s="2" t="s">
        <v>197</v>
      </c>
      <c r="C29" s="45">
        <f>'1040 W4 PLANNER 2021'!S41</f>
        <v>0</v>
      </c>
      <c r="D29" s="2"/>
    </row>
    <row r="30" spans="1:11" x14ac:dyDescent="0.25">
      <c r="A30" s="6"/>
      <c r="C30" s="23"/>
      <c r="D30" s="23"/>
    </row>
    <row r="31" spans="1:11" x14ac:dyDescent="0.25">
      <c r="A31" s="39">
        <v>21</v>
      </c>
      <c r="B31" s="2" t="s">
        <v>198</v>
      </c>
      <c r="C31" s="25"/>
      <c r="D31" s="25">
        <f>K17</f>
        <v>0</v>
      </c>
    </row>
    <row r="32" spans="1:11" x14ac:dyDescent="0.25">
      <c r="A32" s="39">
        <v>22</v>
      </c>
      <c r="B32" s="2" t="s">
        <v>199</v>
      </c>
      <c r="C32" s="25"/>
      <c r="D32" s="57">
        <f>IF(D26-D31&gt;0,D26-D31,0)</f>
        <v>0</v>
      </c>
      <c r="G32">
        <f>4025*0.75</f>
        <v>3018.75</v>
      </c>
    </row>
    <row r="33" spans="1:4" x14ac:dyDescent="0.25">
      <c r="A33" s="39">
        <v>32</v>
      </c>
      <c r="B33" s="2" t="s">
        <v>200</v>
      </c>
      <c r="C33" s="45">
        <f>'1040 W4 PLANNER 2021'!S142</f>
        <v>0</v>
      </c>
      <c r="D33" s="2"/>
    </row>
    <row r="34" spans="1:4" x14ac:dyDescent="0.25">
      <c r="A34" s="39">
        <v>35</v>
      </c>
      <c r="B34" s="2" t="s">
        <v>201</v>
      </c>
      <c r="C34" s="25"/>
      <c r="D34" s="46">
        <f>IF(D32-C33&gt;0,D32-C33,0)</f>
        <v>0</v>
      </c>
    </row>
    <row r="35" spans="1:4" x14ac:dyDescent="0.25">
      <c r="A35" s="39">
        <v>36</v>
      </c>
      <c r="B35" s="2" t="s">
        <v>202</v>
      </c>
      <c r="C35" s="25"/>
      <c r="D35" s="47">
        <f>IF(C33-D32&gt;0,C33-D32,0)</f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X22"/>
  <sheetViews>
    <sheetView workbookViewId="0">
      <selection activeCell="X3" sqref="X3"/>
    </sheetView>
  </sheetViews>
  <sheetFormatPr defaultRowHeight="15" x14ac:dyDescent="0.25"/>
  <cols>
    <col min="1" max="1" width="5.85546875" bestFit="1" customWidth="1"/>
    <col min="2" max="2" width="28.7109375" customWidth="1"/>
    <col min="5" max="5" width="5.85546875" bestFit="1" customWidth="1"/>
    <col min="6" max="6" width="7.28515625" customWidth="1"/>
    <col min="7" max="7" width="7" bestFit="1" customWidth="1"/>
    <col min="8" max="9" width="13.85546875" customWidth="1"/>
    <col min="10" max="10" width="12.140625" customWidth="1"/>
    <col min="11" max="11" width="12.28515625" customWidth="1"/>
    <col min="24" max="24" width="10.5703125" bestFit="1" customWidth="1"/>
  </cols>
  <sheetData>
    <row r="1" spans="1:24" x14ac:dyDescent="0.25">
      <c r="B1" t="s">
        <v>95</v>
      </c>
      <c r="C1">
        <f>'1040 W4 PLANNER 2021'!Q8</f>
        <v>2</v>
      </c>
      <c r="M1" t="s">
        <v>439</v>
      </c>
    </row>
    <row r="2" spans="1:24" ht="63.75" x14ac:dyDescent="0.25">
      <c r="A2" s="9" t="s">
        <v>7</v>
      </c>
      <c r="B2" s="9" t="s">
        <v>46</v>
      </c>
      <c r="C2" s="40" t="s">
        <v>145</v>
      </c>
      <c r="D2" s="40" t="s">
        <v>146</v>
      </c>
      <c r="E2" s="41" t="s">
        <v>147</v>
      </c>
      <c r="F2" s="41" t="s">
        <v>38</v>
      </c>
      <c r="G2" s="42" t="s">
        <v>148</v>
      </c>
      <c r="H2" s="10" t="s">
        <v>11</v>
      </c>
      <c r="I2" s="10" t="s">
        <v>214</v>
      </c>
      <c r="J2" s="10" t="s">
        <v>212</v>
      </c>
      <c r="K2" s="10" t="s">
        <v>213</v>
      </c>
      <c r="M2">
        <v>1</v>
      </c>
      <c r="N2">
        <v>2</v>
      </c>
      <c r="O2">
        <v>3</v>
      </c>
      <c r="P2">
        <v>4</v>
      </c>
      <c r="Q2">
        <v>4</v>
      </c>
      <c r="R2">
        <v>5</v>
      </c>
      <c r="S2">
        <v>6</v>
      </c>
      <c r="T2">
        <v>7</v>
      </c>
      <c r="U2" t="s">
        <v>283</v>
      </c>
      <c r="V2" t="s">
        <v>282</v>
      </c>
      <c r="W2" t="s">
        <v>284</v>
      </c>
      <c r="X2" t="s">
        <v>285</v>
      </c>
    </row>
    <row r="3" spans="1:24" x14ac:dyDescent="0.25">
      <c r="A3" s="62" t="str">
        <f>'1040 W4 PLANNER 2021'!A127</f>
        <v>T</v>
      </c>
      <c r="B3" s="63">
        <f>'1040 W4 PLANNER 2021'!C12</f>
        <v>0</v>
      </c>
      <c r="C3" s="62">
        <f>'1040 W4 PLANNER 2021'!H127</f>
        <v>0</v>
      </c>
      <c r="D3" s="62">
        <f>'1040 W4 PLANNER 2021'!I127</f>
        <v>0</v>
      </c>
      <c r="E3" s="62">
        <f>'1040 W4 PLANNER 2021'!J127</f>
        <v>0</v>
      </c>
      <c r="F3" s="62">
        <f>'1040 W4 PLANNER 2021'!K127</f>
        <v>0</v>
      </c>
      <c r="G3" s="58">
        <f>'1040 W4 PLANNER 2021'!N127</f>
        <v>0</v>
      </c>
      <c r="H3" s="60">
        <f>'1040 W4 PLANNER 2021'!O127</f>
        <v>0</v>
      </c>
      <c r="I3" s="60">
        <f>H3*C3</f>
        <v>0</v>
      </c>
      <c r="J3" s="66">
        <f>W3</f>
        <v>0</v>
      </c>
      <c r="K3" s="66">
        <f>X3</f>
        <v>0</v>
      </c>
      <c r="M3" s="65">
        <f>I3</f>
        <v>0</v>
      </c>
      <c r="N3" s="65">
        <f>M3*0.0495</f>
        <v>0</v>
      </c>
      <c r="O3" s="65">
        <f>IF(E3="m",720,360)</f>
        <v>360</v>
      </c>
      <c r="P3" s="65">
        <f>IF(E3="m",14256,7128)</f>
        <v>7128</v>
      </c>
      <c r="Q3" s="65">
        <f>IF(M3-P3&lt;0,0,M3-P3)</f>
        <v>0</v>
      </c>
      <c r="R3" s="65">
        <f>Q3*0.013</f>
        <v>0</v>
      </c>
      <c r="S3" s="65">
        <f>IF(O3-R3&lt;0,0,O3-R3)</f>
        <v>360</v>
      </c>
      <c r="T3" s="65">
        <f>IF(N3-S3&lt;0,0,N3-S3)</f>
        <v>0</v>
      </c>
      <c r="U3" s="20">
        <f>IF(C3&gt;0,T3/C3,0)</f>
        <v>0</v>
      </c>
      <c r="V3" s="19">
        <f>G3</f>
        <v>0</v>
      </c>
      <c r="W3" s="20">
        <f>V3+U3</f>
        <v>0</v>
      </c>
      <c r="X3" s="20">
        <f>W3*D3</f>
        <v>0</v>
      </c>
    </row>
    <row r="4" spans="1:24" x14ac:dyDescent="0.25">
      <c r="A4" s="62" t="str">
        <f>'1040 W4 PLANNER 2021'!A128</f>
        <v>t</v>
      </c>
      <c r="B4" s="63">
        <f>'1040 W4 PLANNER 2021'!C13</f>
        <v>0</v>
      </c>
      <c r="C4" s="62">
        <f>'1040 W4 PLANNER 2021'!H128</f>
        <v>0</v>
      </c>
      <c r="D4" s="62">
        <f>'1040 W4 PLANNER 2021'!I128</f>
        <v>0</v>
      </c>
      <c r="E4" s="62">
        <f>'1040 W4 PLANNER 2021'!J128</f>
        <v>0</v>
      </c>
      <c r="F4" s="62">
        <f>'1040 W4 PLANNER 2021'!K128</f>
        <v>0</v>
      </c>
      <c r="G4" s="58">
        <f>'1040 W4 PLANNER 2021'!N128</f>
        <v>0</v>
      </c>
      <c r="H4" s="60">
        <f>'1040 W4 PLANNER 2021'!O128</f>
        <v>0</v>
      </c>
      <c r="I4" s="60">
        <f t="shared" ref="I4:I10" si="0">H4*C4</f>
        <v>0</v>
      </c>
      <c r="J4" s="66">
        <f t="shared" ref="J4:J10" si="1">W4</f>
        <v>0</v>
      </c>
      <c r="K4" s="66">
        <f t="shared" ref="K4:K10" si="2">X4</f>
        <v>0</v>
      </c>
      <c r="M4" s="65">
        <f t="shared" ref="M4:M10" si="3">I4</f>
        <v>0</v>
      </c>
      <c r="N4" s="65">
        <f t="shared" ref="N4:N10" si="4">M4*0.0495</f>
        <v>0</v>
      </c>
      <c r="O4" s="65">
        <f t="shared" ref="O4:O10" si="5">IF(E4="m",720,360)</f>
        <v>360</v>
      </c>
      <c r="P4" s="65">
        <f t="shared" ref="P4:P10" si="6">IF(E4="m",14256,7128)</f>
        <v>7128</v>
      </c>
      <c r="Q4" s="65">
        <f t="shared" ref="Q4:Q10" si="7">IF(M4-P4&lt;0,0,M4-P4)</f>
        <v>0</v>
      </c>
      <c r="R4" s="65">
        <f t="shared" ref="R4:R10" si="8">Q4*0.013</f>
        <v>0</v>
      </c>
      <c r="S4" s="65">
        <f t="shared" ref="S4:S10" si="9">IF(O4-R4&lt;0,0,O4-R4)</f>
        <v>360</v>
      </c>
      <c r="T4" s="65">
        <f t="shared" ref="T4:T10" si="10">IF(N4-S4&lt;0,0,N4-S4)</f>
        <v>0</v>
      </c>
      <c r="U4" s="20">
        <f t="shared" ref="U4:U10" si="11">IF(C4&gt;0,T4/C4,0)</f>
        <v>0</v>
      </c>
      <c r="V4" s="19">
        <f t="shared" ref="V4:V10" si="12">G4</f>
        <v>0</v>
      </c>
      <c r="W4" s="20">
        <f t="shared" ref="W4:W10" si="13">V4+U4</f>
        <v>0</v>
      </c>
      <c r="X4" s="20">
        <f t="shared" ref="X4:X10" si="14">W4*D4</f>
        <v>0</v>
      </c>
    </row>
    <row r="5" spans="1:24" x14ac:dyDescent="0.25">
      <c r="A5" s="64" t="str">
        <f>'1040 W4 PLANNER 2021'!A129</f>
        <v>s</v>
      </c>
      <c r="B5" s="63">
        <f>'1040 W4 PLANNER 2021'!C14</f>
        <v>0</v>
      </c>
      <c r="C5" s="64">
        <f>'1040 W4 PLANNER 2021'!H129</f>
        <v>0</v>
      </c>
      <c r="D5" s="64">
        <f>'1040 W4 PLANNER 2021'!I129</f>
        <v>0</v>
      </c>
      <c r="E5" s="64">
        <f>'1040 W4 PLANNER 2021'!J129</f>
        <v>0</v>
      </c>
      <c r="F5" s="64">
        <f>'1040 W4 PLANNER 2021'!K129</f>
        <v>0</v>
      </c>
      <c r="G5" s="64">
        <f>'1040 W4 PLANNER 2021'!N129</f>
        <v>0</v>
      </c>
      <c r="H5" s="63">
        <f>'1040 W4 PLANNER 2021'!O129</f>
        <v>0</v>
      </c>
      <c r="I5" s="60">
        <f t="shared" si="0"/>
        <v>0</v>
      </c>
      <c r="J5" s="66">
        <f t="shared" si="1"/>
        <v>0</v>
      </c>
      <c r="K5" s="66">
        <f t="shared" si="2"/>
        <v>0</v>
      </c>
      <c r="M5" s="65">
        <f t="shared" si="3"/>
        <v>0</v>
      </c>
      <c r="N5" s="65">
        <f t="shared" si="4"/>
        <v>0</v>
      </c>
      <c r="O5" s="65">
        <f t="shared" si="5"/>
        <v>360</v>
      </c>
      <c r="P5" s="65">
        <f t="shared" si="6"/>
        <v>7128</v>
      </c>
      <c r="Q5" s="65">
        <f t="shared" si="7"/>
        <v>0</v>
      </c>
      <c r="R5" s="65">
        <f t="shared" si="8"/>
        <v>0</v>
      </c>
      <c r="S5" s="65">
        <f t="shared" si="9"/>
        <v>360</v>
      </c>
      <c r="T5" s="65">
        <f t="shared" si="10"/>
        <v>0</v>
      </c>
      <c r="U5" s="20">
        <f t="shared" si="11"/>
        <v>0</v>
      </c>
      <c r="V5" s="19">
        <f t="shared" si="12"/>
        <v>0</v>
      </c>
      <c r="W5" s="20">
        <f t="shared" si="13"/>
        <v>0</v>
      </c>
      <c r="X5" s="20">
        <f t="shared" si="14"/>
        <v>0</v>
      </c>
    </row>
    <row r="6" spans="1:24" x14ac:dyDescent="0.25">
      <c r="A6" s="64">
        <f>'1040 W4 PLANNER 2021'!A130</f>
        <v>0</v>
      </c>
      <c r="B6" s="63">
        <f>'1040 W4 PLANNER 2021'!C15</f>
        <v>0</v>
      </c>
      <c r="C6" s="64">
        <f>'1040 W4 PLANNER 2021'!H130</f>
        <v>0</v>
      </c>
      <c r="D6" s="64">
        <f>'1040 W4 PLANNER 2021'!I130</f>
        <v>0</v>
      </c>
      <c r="E6" s="64">
        <f>'1040 W4 PLANNER 2021'!J130</f>
        <v>0</v>
      </c>
      <c r="F6" s="64">
        <f>'1040 W4 PLANNER 2021'!K130</f>
        <v>0</v>
      </c>
      <c r="G6" s="64">
        <f>'1040 W4 PLANNER 2021'!N130</f>
        <v>0</v>
      </c>
      <c r="H6" s="63">
        <f>'1040 W4 PLANNER 2021'!O130</f>
        <v>0</v>
      </c>
      <c r="I6" s="60">
        <f t="shared" si="0"/>
        <v>0</v>
      </c>
      <c r="J6" s="66">
        <f t="shared" si="1"/>
        <v>0</v>
      </c>
      <c r="K6" s="66">
        <f t="shared" si="2"/>
        <v>0</v>
      </c>
      <c r="M6" s="65">
        <f t="shared" si="3"/>
        <v>0</v>
      </c>
      <c r="N6" s="65">
        <f t="shared" si="4"/>
        <v>0</v>
      </c>
      <c r="O6" s="65">
        <f t="shared" si="5"/>
        <v>360</v>
      </c>
      <c r="P6" s="65">
        <f t="shared" si="6"/>
        <v>7128</v>
      </c>
      <c r="Q6" s="65">
        <f t="shared" si="7"/>
        <v>0</v>
      </c>
      <c r="R6" s="65">
        <f t="shared" si="8"/>
        <v>0</v>
      </c>
      <c r="S6" s="65">
        <f t="shared" si="9"/>
        <v>360</v>
      </c>
      <c r="T6" s="65">
        <f t="shared" si="10"/>
        <v>0</v>
      </c>
      <c r="U6" s="20">
        <f t="shared" si="11"/>
        <v>0</v>
      </c>
      <c r="V6" s="19">
        <f t="shared" si="12"/>
        <v>0</v>
      </c>
      <c r="W6" s="20">
        <f t="shared" si="13"/>
        <v>0</v>
      </c>
      <c r="X6" s="20">
        <f t="shared" si="14"/>
        <v>0</v>
      </c>
    </row>
    <row r="7" spans="1:24" x14ac:dyDescent="0.25">
      <c r="A7" s="64">
        <f>'1040 W4 PLANNER 2021'!A131</f>
        <v>0</v>
      </c>
      <c r="B7" s="63">
        <f>'1040 W4 PLANNER 2021'!C16</f>
        <v>0</v>
      </c>
      <c r="C7" s="64">
        <f>'1040 W4 PLANNER 2021'!H131</f>
        <v>0</v>
      </c>
      <c r="D7" s="64">
        <f>'1040 W4 PLANNER 2021'!I131</f>
        <v>0</v>
      </c>
      <c r="E7" s="64">
        <f>'1040 W4 PLANNER 2021'!J131</f>
        <v>0</v>
      </c>
      <c r="F7" s="64">
        <f>'1040 W4 PLANNER 2021'!K131</f>
        <v>0</v>
      </c>
      <c r="G7" s="64">
        <f>'1040 W4 PLANNER 2021'!N131</f>
        <v>0</v>
      </c>
      <c r="H7" s="63">
        <f>'1040 W4 PLANNER 2021'!O131</f>
        <v>0</v>
      </c>
      <c r="I7" s="60">
        <f t="shared" si="0"/>
        <v>0</v>
      </c>
      <c r="J7" s="66">
        <f t="shared" si="1"/>
        <v>0</v>
      </c>
      <c r="K7" s="66">
        <f t="shared" si="2"/>
        <v>0</v>
      </c>
      <c r="M7" s="65">
        <f t="shared" si="3"/>
        <v>0</v>
      </c>
      <c r="N7" s="65">
        <f t="shared" si="4"/>
        <v>0</v>
      </c>
      <c r="O7" s="65">
        <f t="shared" si="5"/>
        <v>360</v>
      </c>
      <c r="P7" s="65">
        <f t="shared" si="6"/>
        <v>7128</v>
      </c>
      <c r="Q7" s="65">
        <f t="shared" si="7"/>
        <v>0</v>
      </c>
      <c r="R7" s="65">
        <f t="shared" si="8"/>
        <v>0</v>
      </c>
      <c r="S7" s="65">
        <f t="shared" si="9"/>
        <v>360</v>
      </c>
      <c r="T7" s="65">
        <f t="shared" si="10"/>
        <v>0</v>
      </c>
      <c r="U7" s="20">
        <f t="shared" si="11"/>
        <v>0</v>
      </c>
      <c r="V7" s="19">
        <f t="shared" si="12"/>
        <v>0</v>
      </c>
      <c r="W7" s="20">
        <f t="shared" si="13"/>
        <v>0</v>
      </c>
      <c r="X7" s="20">
        <f t="shared" si="14"/>
        <v>0</v>
      </c>
    </row>
    <row r="8" spans="1:24" x14ac:dyDescent="0.25">
      <c r="A8" s="64">
        <f>'1040 W4 PLANNER 2021'!A132</f>
        <v>0</v>
      </c>
      <c r="B8" s="63">
        <f>'1040 W4 PLANNER 2021'!C17</f>
        <v>0</v>
      </c>
      <c r="C8" s="64">
        <f>'1040 W4 PLANNER 2021'!H132</f>
        <v>0</v>
      </c>
      <c r="D8" s="64">
        <f>'1040 W4 PLANNER 2021'!I132</f>
        <v>0</v>
      </c>
      <c r="E8" s="64">
        <f>'1040 W4 PLANNER 2021'!J132</f>
        <v>0</v>
      </c>
      <c r="F8" s="64">
        <f>'1040 W4 PLANNER 2021'!K132</f>
        <v>0</v>
      </c>
      <c r="G8" s="64">
        <f>'1040 W4 PLANNER 2021'!N132</f>
        <v>0</v>
      </c>
      <c r="H8" s="63">
        <f>'1040 W4 PLANNER 2021'!O132</f>
        <v>0</v>
      </c>
      <c r="I8" s="60">
        <f t="shared" si="0"/>
        <v>0</v>
      </c>
      <c r="J8" s="66">
        <f t="shared" si="1"/>
        <v>0</v>
      </c>
      <c r="K8" s="66">
        <f t="shared" si="2"/>
        <v>0</v>
      </c>
      <c r="M8" s="65">
        <f t="shared" si="3"/>
        <v>0</v>
      </c>
      <c r="N8" s="65">
        <f t="shared" si="4"/>
        <v>0</v>
      </c>
      <c r="O8" s="65">
        <f t="shared" si="5"/>
        <v>360</v>
      </c>
      <c r="P8" s="65">
        <f t="shared" si="6"/>
        <v>7128</v>
      </c>
      <c r="Q8" s="65">
        <f t="shared" si="7"/>
        <v>0</v>
      </c>
      <c r="R8" s="65">
        <f t="shared" si="8"/>
        <v>0</v>
      </c>
      <c r="S8" s="65">
        <f t="shared" si="9"/>
        <v>360</v>
      </c>
      <c r="T8" s="65">
        <f t="shared" si="10"/>
        <v>0</v>
      </c>
      <c r="U8" s="20">
        <f t="shared" si="11"/>
        <v>0</v>
      </c>
      <c r="V8" s="19">
        <f t="shared" si="12"/>
        <v>0</v>
      </c>
      <c r="W8" s="20">
        <f t="shared" si="13"/>
        <v>0</v>
      </c>
      <c r="X8" s="20">
        <f t="shared" si="14"/>
        <v>0</v>
      </c>
    </row>
    <row r="9" spans="1:24" x14ac:dyDescent="0.25">
      <c r="A9" s="64">
        <f>'1040 W4 PLANNER 2021'!A133</f>
        <v>0</v>
      </c>
      <c r="B9" s="63">
        <f>'1040 W4 PLANNER 2021'!C18</f>
        <v>0</v>
      </c>
      <c r="C9" s="64">
        <f>'1040 W4 PLANNER 2021'!H133</f>
        <v>0</v>
      </c>
      <c r="D9" s="64">
        <f>'1040 W4 PLANNER 2021'!I133</f>
        <v>0</v>
      </c>
      <c r="E9" s="64">
        <f>'1040 W4 PLANNER 2021'!J133</f>
        <v>0</v>
      </c>
      <c r="F9" s="64">
        <f>'1040 W4 PLANNER 2021'!K133</f>
        <v>0</v>
      </c>
      <c r="G9" s="64">
        <f>'1040 W4 PLANNER 2021'!N133</f>
        <v>0</v>
      </c>
      <c r="H9" s="63">
        <f>'1040 W4 PLANNER 2021'!O133</f>
        <v>0</v>
      </c>
      <c r="I9" s="60">
        <f t="shared" si="0"/>
        <v>0</v>
      </c>
      <c r="J9" s="66">
        <f t="shared" si="1"/>
        <v>0</v>
      </c>
      <c r="K9" s="66">
        <f t="shared" si="2"/>
        <v>0</v>
      </c>
      <c r="M9" s="65">
        <f t="shared" si="3"/>
        <v>0</v>
      </c>
      <c r="N9" s="65">
        <f t="shared" si="4"/>
        <v>0</v>
      </c>
      <c r="O9" s="65">
        <f t="shared" si="5"/>
        <v>360</v>
      </c>
      <c r="P9" s="65">
        <f t="shared" si="6"/>
        <v>7128</v>
      </c>
      <c r="Q9" s="65">
        <f t="shared" si="7"/>
        <v>0</v>
      </c>
      <c r="R9" s="65">
        <f t="shared" si="8"/>
        <v>0</v>
      </c>
      <c r="S9" s="65">
        <f t="shared" si="9"/>
        <v>360</v>
      </c>
      <c r="T9" s="65">
        <f t="shared" si="10"/>
        <v>0</v>
      </c>
      <c r="U9" s="20">
        <f t="shared" si="11"/>
        <v>0</v>
      </c>
      <c r="V9" s="19">
        <f t="shared" si="12"/>
        <v>0</v>
      </c>
      <c r="W9" s="20">
        <f t="shared" si="13"/>
        <v>0</v>
      </c>
      <c r="X9" s="20">
        <f t="shared" si="14"/>
        <v>0</v>
      </c>
    </row>
    <row r="10" spans="1:24" x14ac:dyDescent="0.25">
      <c r="A10" s="64">
        <f>'1040 W4 PLANNER 2021'!A134</f>
        <v>0</v>
      </c>
      <c r="B10" s="63">
        <f>'1040 W4 PLANNER 2021'!C19</f>
        <v>0</v>
      </c>
      <c r="C10" s="64">
        <f>'1040 W4 PLANNER 2021'!H134</f>
        <v>0</v>
      </c>
      <c r="D10" s="64">
        <f>'1040 W4 PLANNER 2021'!I134</f>
        <v>0</v>
      </c>
      <c r="E10" s="64">
        <f>'1040 W4 PLANNER 2021'!J134</f>
        <v>0</v>
      </c>
      <c r="F10" s="64">
        <f>'1040 W4 PLANNER 2021'!K134</f>
        <v>0</v>
      </c>
      <c r="G10" s="64">
        <f>'1040 W4 PLANNER 2021'!N134</f>
        <v>0</v>
      </c>
      <c r="H10" s="63">
        <f>'1040 W4 PLANNER 2021'!O134</f>
        <v>0</v>
      </c>
      <c r="I10" s="60">
        <f t="shared" si="0"/>
        <v>0</v>
      </c>
      <c r="J10" s="66">
        <f t="shared" si="1"/>
        <v>0</v>
      </c>
      <c r="K10" s="66">
        <f t="shared" si="2"/>
        <v>0</v>
      </c>
      <c r="M10" s="65">
        <f t="shared" si="3"/>
        <v>0</v>
      </c>
      <c r="N10" s="65">
        <f t="shared" si="4"/>
        <v>0</v>
      </c>
      <c r="O10" s="65">
        <f t="shared" si="5"/>
        <v>360</v>
      </c>
      <c r="P10" s="65">
        <f t="shared" si="6"/>
        <v>7128</v>
      </c>
      <c r="Q10" s="65">
        <f t="shared" si="7"/>
        <v>0</v>
      </c>
      <c r="R10" s="65">
        <f t="shared" si="8"/>
        <v>0</v>
      </c>
      <c r="S10" s="65">
        <f t="shared" si="9"/>
        <v>360</v>
      </c>
      <c r="T10" s="65">
        <f t="shared" si="10"/>
        <v>0</v>
      </c>
      <c r="U10" s="20">
        <f t="shared" si="11"/>
        <v>0</v>
      </c>
      <c r="V10" s="19">
        <f t="shared" si="12"/>
        <v>0</v>
      </c>
      <c r="W10" s="20">
        <f t="shared" si="13"/>
        <v>0</v>
      </c>
      <c r="X10" s="20">
        <f t="shared" si="14"/>
        <v>0</v>
      </c>
    </row>
    <row r="17" spans="1:24" ht="78.75" customHeight="1" x14ac:dyDescent="0.25">
      <c r="A17" s="9" t="s">
        <v>7</v>
      </c>
      <c r="B17" s="9" t="s">
        <v>16</v>
      </c>
      <c r="C17" s="40" t="s">
        <v>145</v>
      </c>
      <c r="D17" s="40" t="s">
        <v>146</v>
      </c>
      <c r="E17" s="41" t="s">
        <v>147</v>
      </c>
      <c r="F17" s="41" t="s">
        <v>38</v>
      </c>
      <c r="G17" s="42" t="s">
        <v>148</v>
      </c>
      <c r="H17" s="10" t="s">
        <v>11</v>
      </c>
      <c r="I17" s="10" t="s">
        <v>214</v>
      </c>
      <c r="J17" s="10" t="s">
        <v>212</v>
      </c>
      <c r="K17" s="10" t="s">
        <v>213</v>
      </c>
      <c r="M17">
        <v>1</v>
      </c>
      <c r="N17">
        <v>2</v>
      </c>
      <c r="O17">
        <v>3</v>
      </c>
      <c r="P17">
        <v>4</v>
      </c>
      <c r="Q17">
        <v>4</v>
      </c>
      <c r="R17">
        <v>5</v>
      </c>
      <c r="S17">
        <v>6</v>
      </c>
      <c r="T17">
        <v>7</v>
      </c>
      <c r="U17" t="s">
        <v>283</v>
      </c>
      <c r="V17" t="s">
        <v>282</v>
      </c>
      <c r="W17" t="s">
        <v>284</v>
      </c>
      <c r="X17" t="s">
        <v>285</v>
      </c>
    </row>
    <row r="18" spans="1:24" x14ac:dyDescent="0.25">
      <c r="A18" s="58" t="str">
        <f>'1040 W4 PLANNER 2021'!A137</f>
        <v>T</v>
      </c>
      <c r="B18" s="59">
        <f>'1040 W4 PLANNER 2021'!C33</f>
        <v>0</v>
      </c>
      <c r="C18" s="60">
        <f>'1040 W4 PLANNER 2021'!H137</f>
        <v>0</v>
      </c>
      <c r="D18" s="60">
        <f>'1040 W4 PLANNER 2021'!I137</f>
        <v>0</v>
      </c>
      <c r="E18" s="60">
        <f>'1040 W4 PLANNER 2021'!J137</f>
        <v>0</v>
      </c>
      <c r="F18" s="60">
        <f>'1040 W4 PLANNER 2021'!K137</f>
        <v>0</v>
      </c>
      <c r="G18" s="60">
        <f>'1040 W4 PLANNER 2021'!N137</f>
        <v>0</v>
      </c>
      <c r="H18" s="61">
        <f>'1040 W4 PLANNER 2021'!O137</f>
        <v>0</v>
      </c>
      <c r="I18" s="60">
        <f t="shared" ref="I18:I22" si="15">H18*C18</f>
        <v>0</v>
      </c>
      <c r="J18" s="66">
        <f t="shared" ref="J18:J22" si="16">W18</f>
        <v>0</v>
      </c>
      <c r="K18" s="66">
        <f t="shared" ref="K18:K22" si="17">X18</f>
        <v>0</v>
      </c>
      <c r="M18" s="65">
        <f t="shared" ref="M18:M22" si="18">I18</f>
        <v>0</v>
      </c>
      <c r="N18" s="65">
        <f t="shared" ref="N18:N22" si="19">M18*0.0495</f>
        <v>0</v>
      </c>
      <c r="O18" s="65">
        <f t="shared" ref="O18:O22" si="20">IF(E18="m",720,360)</f>
        <v>360</v>
      </c>
      <c r="P18" s="65">
        <f t="shared" ref="P18:P22" si="21">IF(E18="m",14256,7128)</f>
        <v>7128</v>
      </c>
      <c r="Q18" s="65">
        <f t="shared" ref="Q18:Q22" si="22">IF(M18-P18&lt;0,0,M18-P18)</f>
        <v>0</v>
      </c>
      <c r="R18" s="65">
        <f t="shared" ref="R18:R22" si="23">Q18*0.013</f>
        <v>0</v>
      </c>
      <c r="S18" s="65">
        <f t="shared" ref="S18:S22" si="24">IF(O18-R18&lt;0,0,O18-R18)</f>
        <v>360</v>
      </c>
      <c r="T18" s="65">
        <f t="shared" ref="T18:T22" si="25">IF(N18-S18&lt;0,0,N18-S18)</f>
        <v>0</v>
      </c>
      <c r="U18" s="20">
        <f t="shared" ref="U18:U22" si="26">IF(C18&gt;0,T18/C18,0)</f>
        <v>0</v>
      </c>
      <c r="V18" s="19">
        <f t="shared" ref="V18:V22" si="27">G18</f>
        <v>0</v>
      </c>
      <c r="W18" s="20">
        <f t="shared" ref="W18:W22" si="28">V18+U18</f>
        <v>0</v>
      </c>
      <c r="X18" s="20">
        <f t="shared" ref="X18:X22" si="29">W18*D18</f>
        <v>0</v>
      </c>
    </row>
    <row r="19" spans="1:24" x14ac:dyDescent="0.25">
      <c r="A19" s="58">
        <f>'1040 W4 PLANNER 2021'!A138</f>
        <v>0</v>
      </c>
      <c r="B19" s="59">
        <f>'1040 W4 PLANNER 2021'!C34</f>
        <v>0</v>
      </c>
      <c r="C19" s="60">
        <f>'1040 W4 PLANNER 2021'!H138</f>
        <v>0</v>
      </c>
      <c r="D19" s="60">
        <f>'1040 W4 PLANNER 2021'!I138</f>
        <v>0</v>
      </c>
      <c r="E19" s="60">
        <f>'1040 W4 PLANNER 2021'!J138</f>
        <v>0</v>
      </c>
      <c r="F19" s="60">
        <f>'1040 W4 PLANNER 2021'!K138</f>
        <v>0</v>
      </c>
      <c r="G19" s="60">
        <f>'1040 W4 PLANNER 2021'!N138</f>
        <v>0</v>
      </c>
      <c r="H19" s="61">
        <f>'1040 W4 PLANNER 2021'!O138</f>
        <v>0</v>
      </c>
      <c r="I19" s="60">
        <f t="shared" si="15"/>
        <v>0</v>
      </c>
      <c r="J19" s="66">
        <f t="shared" si="16"/>
        <v>0</v>
      </c>
      <c r="K19" s="66">
        <f t="shared" si="17"/>
        <v>0</v>
      </c>
      <c r="M19" s="65">
        <f t="shared" si="18"/>
        <v>0</v>
      </c>
      <c r="N19" s="65">
        <f t="shared" si="19"/>
        <v>0</v>
      </c>
      <c r="O19" s="65">
        <f t="shared" si="20"/>
        <v>360</v>
      </c>
      <c r="P19" s="65">
        <f t="shared" si="21"/>
        <v>7128</v>
      </c>
      <c r="Q19" s="65">
        <f t="shared" si="22"/>
        <v>0</v>
      </c>
      <c r="R19" s="65">
        <f t="shared" si="23"/>
        <v>0</v>
      </c>
      <c r="S19" s="65">
        <f t="shared" si="24"/>
        <v>360</v>
      </c>
      <c r="T19" s="65">
        <f t="shared" si="25"/>
        <v>0</v>
      </c>
      <c r="U19" s="20">
        <f t="shared" si="26"/>
        <v>0</v>
      </c>
      <c r="V19" s="19">
        <f t="shared" si="27"/>
        <v>0</v>
      </c>
      <c r="W19" s="20">
        <f t="shared" si="28"/>
        <v>0</v>
      </c>
      <c r="X19" s="20">
        <f t="shared" si="29"/>
        <v>0</v>
      </c>
    </row>
    <row r="20" spans="1:24" x14ac:dyDescent="0.25">
      <c r="A20" s="58">
        <f>'1040 W4 PLANNER 2021'!A139</f>
        <v>0</v>
      </c>
      <c r="B20" s="59">
        <f>'1040 W4 PLANNER 2021'!C35</f>
        <v>0</v>
      </c>
      <c r="C20" s="60">
        <f>'1040 W4 PLANNER 2021'!H139</f>
        <v>0</v>
      </c>
      <c r="D20" s="60">
        <f>'1040 W4 PLANNER 2021'!I139</f>
        <v>0</v>
      </c>
      <c r="E20" s="60">
        <f>'1040 W4 PLANNER 2021'!J139</f>
        <v>0</v>
      </c>
      <c r="F20" s="60">
        <f>'1040 W4 PLANNER 2021'!K139</f>
        <v>0</v>
      </c>
      <c r="G20" s="60">
        <f>'1040 W4 PLANNER 2021'!N139</f>
        <v>0</v>
      </c>
      <c r="H20" s="61">
        <f>'1040 W4 PLANNER 2021'!O139</f>
        <v>0</v>
      </c>
      <c r="I20" s="60">
        <f t="shared" si="15"/>
        <v>0</v>
      </c>
      <c r="J20" s="66">
        <f t="shared" si="16"/>
        <v>0</v>
      </c>
      <c r="K20" s="66">
        <f t="shared" si="17"/>
        <v>0</v>
      </c>
      <c r="M20" s="65">
        <f t="shared" si="18"/>
        <v>0</v>
      </c>
      <c r="N20" s="65">
        <f t="shared" si="19"/>
        <v>0</v>
      </c>
      <c r="O20" s="65">
        <f t="shared" si="20"/>
        <v>360</v>
      </c>
      <c r="P20" s="65">
        <f t="shared" si="21"/>
        <v>7128</v>
      </c>
      <c r="Q20" s="65">
        <f t="shared" si="22"/>
        <v>0</v>
      </c>
      <c r="R20" s="65">
        <f t="shared" si="23"/>
        <v>0</v>
      </c>
      <c r="S20" s="65">
        <f t="shared" si="24"/>
        <v>360</v>
      </c>
      <c r="T20" s="65">
        <f t="shared" si="25"/>
        <v>0</v>
      </c>
      <c r="U20" s="20">
        <f t="shared" si="26"/>
        <v>0</v>
      </c>
      <c r="V20" s="19">
        <f t="shared" si="27"/>
        <v>0</v>
      </c>
      <c r="W20" s="20">
        <f t="shared" si="28"/>
        <v>0</v>
      </c>
      <c r="X20" s="20">
        <f t="shared" si="29"/>
        <v>0</v>
      </c>
    </row>
    <row r="21" spans="1:24" x14ac:dyDescent="0.25">
      <c r="A21" s="58">
        <f>'1040 W4 PLANNER 2021'!A140</f>
        <v>0</v>
      </c>
      <c r="B21" s="59">
        <f>'1040 W4 PLANNER 2021'!C36</f>
        <v>0</v>
      </c>
      <c r="C21" s="60">
        <f>'1040 W4 PLANNER 2021'!H140</f>
        <v>0</v>
      </c>
      <c r="D21" s="60">
        <f>'1040 W4 PLANNER 2021'!I140</f>
        <v>0</v>
      </c>
      <c r="E21" s="60">
        <f>'1040 W4 PLANNER 2021'!J140</f>
        <v>0</v>
      </c>
      <c r="F21" s="60">
        <f>'1040 W4 PLANNER 2021'!K140</f>
        <v>0</v>
      </c>
      <c r="G21" s="60">
        <f>'1040 W4 PLANNER 2021'!N140</f>
        <v>0</v>
      </c>
      <c r="H21" s="61">
        <f>'1040 W4 PLANNER 2021'!O140</f>
        <v>0</v>
      </c>
      <c r="I21" s="60">
        <f t="shared" si="15"/>
        <v>0</v>
      </c>
      <c r="J21" s="66">
        <f t="shared" si="16"/>
        <v>0</v>
      </c>
      <c r="K21" s="66">
        <f t="shared" si="17"/>
        <v>0</v>
      </c>
      <c r="M21" s="65">
        <f t="shared" si="18"/>
        <v>0</v>
      </c>
      <c r="N21" s="65">
        <f t="shared" si="19"/>
        <v>0</v>
      </c>
      <c r="O21" s="65">
        <f t="shared" si="20"/>
        <v>360</v>
      </c>
      <c r="P21" s="65">
        <f t="shared" si="21"/>
        <v>7128</v>
      </c>
      <c r="Q21" s="65">
        <f t="shared" si="22"/>
        <v>0</v>
      </c>
      <c r="R21" s="65">
        <f t="shared" si="23"/>
        <v>0</v>
      </c>
      <c r="S21" s="65">
        <f t="shared" si="24"/>
        <v>360</v>
      </c>
      <c r="T21" s="65">
        <f t="shared" si="25"/>
        <v>0</v>
      </c>
      <c r="U21" s="20">
        <f t="shared" si="26"/>
        <v>0</v>
      </c>
      <c r="V21" s="19">
        <f t="shared" si="27"/>
        <v>0</v>
      </c>
      <c r="W21" s="20">
        <f t="shared" si="28"/>
        <v>0</v>
      </c>
      <c r="X21" s="20">
        <f t="shared" si="29"/>
        <v>0</v>
      </c>
    </row>
    <row r="22" spans="1:24" x14ac:dyDescent="0.25">
      <c r="A22" s="58">
        <f>'1040 W4 PLANNER 2021'!A141</f>
        <v>0</v>
      </c>
      <c r="B22" s="59">
        <f>'1040 W4 PLANNER 2021'!C37</f>
        <v>0</v>
      </c>
      <c r="C22" s="60">
        <f>'1040 W4 PLANNER 2021'!H141</f>
        <v>0</v>
      </c>
      <c r="D22" s="60">
        <f>'1040 W4 PLANNER 2021'!I141</f>
        <v>0</v>
      </c>
      <c r="E22" s="60">
        <f>'1040 W4 PLANNER 2021'!J141</f>
        <v>0</v>
      </c>
      <c r="F22" s="60">
        <f>'1040 W4 PLANNER 2021'!K141</f>
        <v>0</v>
      </c>
      <c r="G22" s="60">
        <f>'1040 W4 PLANNER 2021'!N141</f>
        <v>0</v>
      </c>
      <c r="H22" s="61">
        <f>'1040 W4 PLANNER 2021'!O141</f>
        <v>0</v>
      </c>
      <c r="I22" s="60">
        <f t="shared" si="15"/>
        <v>0</v>
      </c>
      <c r="J22" s="66">
        <f t="shared" si="16"/>
        <v>0</v>
      </c>
      <c r="K22" s="66">
        <f t="shared" si="17"/>
        <v>0</v>
      </c>
      <c r="M22" s="65">
        <f t="shared" si="18"/>
        <v>0</v>
      </c>
      <c r="N22" s="65">
        <f t="shared" si="19"/>
        <v>0</v>
      </c>
      <c r="O22" s="65">
        <f t="shared" si="20"/>
        <v>360</v>
      </c>
      <c r="P22" s="65">
        <f t="shared" si="21"/>
        <v>7128</v>
      </c>
      <c r="Q22" s="65">
        <f t="shared" si="22"/>
        <v>0</v>
      </c>
      <c r="R22" s="65">
        <f t="shared" si="23"/>
        <v>0</v>
      </c>
      <c r="S22" s="65">
        <f t="shared" si="24"/>
        <v>360</v>
      </c>
      <c r="T22" s="65">
        <f t="shared" si="25"/>
        <v>0</v>
      </c>
      <c r="U22" s="20">
        <f t="shared" si="26"/>
        <v>0</v>
      </c>
      <c r="V22" s="19">
        <f t="shared" si="27"/>
        <v>0</v>
      </c>
      <c r="W22" s="20">
        <f t="shared" si="28"/>
        <v>0</v>
      </c>
      <c r="X22" s="20">
        <f t="shared" si="29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1040 W4 PLANNER 2021</vt:lpstr>
      <vt:lpstr>1040 W4 PLANNER 2021 SUMMARY</vt:lpstr>
      <vt:lpstr>qbi</vt:lpstr>
      <vt:lpstr>withholding</vt:lpstr>
      <vt:lpstr>SS PT SD SINT</vt:lpstr>
      <vt:lpstr>tax CCC CTC</vt:lpstr>
      <vt:lpstr>EIC</vt:lpstr>
      <vt:lpstr>state</vt:lpstr>
      <vt:lpstr>state withhold</vt:lpstr>
      <vt:lpstr>lists</vt:lpstr>
      <vt:lpstr>list 2</vt:lpstr>
      <vt:lpstr>Blind</vt:lpstr>
      <vt:lpstr>married</vt:lpstr>
      <vt:lpstr>pay_period</vt:lpstr>
      <vt:lpstr>payperiod</vt:lpstr>
      <vt:lpstr>'1040 W4 PLANNER 2021'!Print_Area</vt:lpstr>
      <vt:lpstr>status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McKay</dc:creator>
  <cp:lastModifiedBy>Rich McKay</cp:lastModifiedBy>
  <cp:lastPrinted>2021-01-09T21:35:04Z</cp:lastPrinted>
  <dcterms:created xsi:type="dcterms:W3CDTF">2011-11-06T23:02:43Z</dcterms:created>
  <dcterms:modified xsi:type="dcterms:W3CDTF">2021-01-10T01:43:26Z</dcterms:modified>
</cp:coreProperties>
</file>