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ich\Documents\tax planners\"/>
    </mc:Choice>
  </mc:AlternateContent>
  <xr:revisionPtr revIDLastSave="0" documentId="13_ncr:1_{560FD8A1-D8C0-43BD-BEF4-22CBE72EA884}" xr6:coauthVersionLast="47" xr6:coauthVersionMax="47" xr10:uidLastSave="{00000000-0000-0000-0000-000000000000}"/>
  <workbookProtection workbookAlgorithmName="SHA-512" workbookHashValue="Sww1ruzrVrIoHHQXrcN4eDCD1FiUXrk+7B0eeyrhWQ52D1Pqy3+h+oXLpUS2zZq2TB5xdn03o+4V6/xcIJ5u5w==" workbookSaltValue="SsVnW0bvoe4Nkq4nAOw2zw==" workbookSpinCount="100000" lockStructure="1"/>
  <bookViews>
    <workbookView xWindow="-120" yWindow="-120" windowWidth="29040" windowHeight="15720" tabRatio="645" xr2:uid="{B96EE244-E032-4E2F-8823-246A9F831EA2}"/>
  </bookViews>
  <sheets>
    <sheet name="1040 W4 PLANNER 2026" sheetId="1" r:id="rId1"/>
    <sheet name="1040 W4 PLANNER 2026 SUMMARY" sheetId="12" r:id="rId2"/>
    <sheet name="qbi" sheetId="13" state="hidden" r:id="rId3"/>
    <sheet name="withholding" sheetId="3" state="hidden" r:id="rId4"/>
    <sheet name="Sheet1" sheetId="14" state="hidden" r:id="rId5"/>
    <sheet name="SS PT SD SINT" sheetId="4" state="hidden" r:id="rId6"/>
    <sheet name="tax CCC CTC" sheetId="5" state="hidden" r:id="rId7"/>
    <sheet name="EIC" sheetId="6" state="hidden" r:id="rId8"/>
    <sheet name="state" sheetId="7" state="hidden" r:id="rId9"/>
    <sheet name="state withhold" sheetId="8" state="hidden" r:id="rId10"/>
    <sheet name="lists" sheetId="9" state="hidden" r:id="rId11"/>
    <sheet name="list 2" sheetId="10" state="hidden" r:id="rId12"/>
  </sheets>
  <definedNames>
    <definedName name="Blind">lists!$B$2:$B$6</definedName>
    <definedName name="married">lists!$D$2:$D$3</definedName>
    <definedName name="pay_period">lists!$C$2:$C$7</definedName>
    <definedName name="payperiod">lists!$C$2:$C$7</definedName>
    <definedName name="_xlnm.Print_Area" localSheetId="0">'1040 W4 PLANNER 2026'!$A$1:$U$161</definedName>
    <definedName name="status">lists!$A$2:$A$6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2" i="8" l="1"/>
  <c r="W22" i="8" s="1"/>
  <c r="X22" i="8" s="1"/>
  <c r="U22" i="8"/>
  <c r="P22" i="8"/>
  <c r="Q22" i="8" s="1"/>
  <c r="R22" i="8" s="1"/>
  <c r="S22" i="8" s="1"/>
  <c r="O22" i="8"/>
  <c r="M22" i="8"/>
  <c r="N22" i="8" s="1"/>
  <c r="T22" i="8" s="1"/>
  <c r="V21" i="8"/>
  <c r="V20" i="8"/>
  <c r="V19" i="8"/>
  <c r="V18" i="8"/>
  <c r="P10" i="8"/>
  <c r="P9" i="8"/>
  <c r="O10" i="8"/>
  <c r="O9" i="8"/>
  <c r="N10" i="8"/>
  <c r="N9" i="8"/>
  <c r="L6" i="7"/>
  <c r="A18" i="13" l="1"/>
  <c r="B18" i="13"/>
  <c r="B17" i="13"/>
  <c r="N68" i="3"/>
  <c r="M68" i="3"/>
  <c r="N62" i="3"/>
  <c r="M62" i="3"/>
  <c r="N56" i="3"/>
  <c r="M56" i="3"/>
  <c r="N39" i="3"/>
  <c r="M39" i="3"/>
  <c r="N38" i="3"/>
  <c r="M38" i="3"/>
  <c r="N30" i="3"/>
  <c r="M30" i="3"/>
  <c r="N29" i="3"/>
  <c r="M29" i="3"/>
  <c r="N21" i="3"/>
  <c r="M21" i="3"/>
  <c r="N20" i="3"/>
  <c r="M20" i="3"/>
  <c r="B30" i="5" l="1"/>
  <c r="B29" i="5"/>
  <c r="T22" i="4" l="1"/>
  <c r="T23" i="4"/>
  <c r="T12" i="4"/>
  <c r="T1" i="4"/>
  <c r="T2" i="4" s="1"/>
  <c r="V64" i="14" l="1"/>
  <c r="T64" i="14"/>
  <c r="R64" i="14"/>
  <c r="P64" i="14"/>
  <c r="N64" i="14"/>
  <c r="L64" i="14"/>
  <c r="V63" i="14"/>
  <c r="T63" i="14"/>
  <c r="S63" i="14"/>
  <c r="R63" i="14"/>
  <c r="P63" i="14"/>
  <c r="N63" i="14"/>
  <c r="M63" i="14"/>
  <c r="L63" i="14"/>
  <c r="V62" i="14"/>
  <c r="T62" i="14"/>
  <c r="S62" i="14"/>
  <c r="R62" i="14"/>
  <c r="P62" i="14"/>
  <c r="N62" i="14"/>
  <c r="M62" i="14"/>
  <c r="L62" i="14"/>
  <c r="V61" i="14"/>
  <c r="T61" i="14"/>
  <c r="S61" i="14"/>
  <c r="R61" i="14"/>
  <c r="P61" i="14"/>
  <c r="N61" i="14"/>
  <c r="M61" i="14"/>
  <c r="L61" i="14"/>
  <c r="V60" i="14"/>
  <c r="T60" i="14"/>
  <c r="S60" i="14"/>
  <c r="R60" i="14"/>
  <c r="P60" i="14"/>
  <c r="N60" i="14"/>
  <c r="M60" i="14"/>
  <c r="L60" i="14"/>
  <c r="V59" i="14"/>
  <c r="T59" i="14"/>
  <c r="S59" i="14"/>
  <c r="R59" i="14"/>
  <c r="P59" i="14"/>
  <c r="N59" i="14"/>
  <c r="M59" i="14"/>
  <c r="L59" i="14"/>
  <c r="V58" i="14"/>
  <c r="T58" i="14"/>
  <c r="S58" i="14"/>
  <c r="R58" i="14"/>
  <c r="P58" i="14"/>
  <c r="N58" i="14"/>
  <c r="M58" i="14"/>
  <c r="L58" i="14"/>
  <c r="V57" i="14"/>
  <c r="T57" i="14"/>
  <c r="S57" i="14"/>
  <c r="R57" i="14"/>
  <c r="P57" i="14"/>
  <c r="N57" i="14"/>
  <c r="M57" i="14"/>
  <c r="L57" i="14"/>
  <c r="V55" i="14"/>
  <c r="T55" i="14"/>
  <c r="R55" i="14"/>
  <c r="P55" i="14"/>
  <c r="N55" i="14"/>
  <c r="L55" i="14"/>
  <c r="V54" i="14"/>
  <c r="T54" i="14"/>
  <c r="S54" i="14"/>
  <c r="R54" i="14"/>
  <c r="P54" i="14"/>
  <c r="N54" i="14"/>
  <c r="M54" i="14"/>
  <c r="L54" i="14"/>
  <c r="V53" i="14"/>
  <c r="T53" i="14"/>
  <c r="S53" i="14"/>
  <c r="R53" i="14"/>
  <c r="P53" i="14"/>
  <c r="N53" i="14"/>
  <c r="M53" i="14"/>
  <c r="L53" i="14"/>
  <c r="V52" i="14"/>
  <c r="T52" i="14"/>
  <c r="S52" i="14"/>
  <c r="R52" i="14"/>
  <c r="P52" i="14"/>
  <c r="N52" i="14"/>
  <c r="M52" i="14"/>
  <c r="L52" i="14"/>
  <c r="V51" i="14"/>
  <c r="T51" i="14"/>
  <c r="S51" i="14"/>
  <c r="R51" i="14"/>
  <c r="P51" i="14"/>
  <c r="N51" i="14"/>
  <c r="M51" i="14"/>
  <c r="L51" i="14"/>
  <c r="V50" i="14"/>
  <c r="T50" i="14"/>
  <c r="S50" i="14"/>
  <c r="R50" i="14"/>
  <c r="P50" i="14"/>
  <c r="N50" i="14"/>
  <c r="M50" i="14"/>
  <c r="L50" i="14"/>
  <c r="V49" i="14"/>
  <c r="T49" i="14"/>
  <c r="S49" i="14"/>
  <c r="R49" i="14"/>
  <c r="P49" i="14"/>
  <c r="N49" i="14"/>
  <c r="M49" i="14"/>
  <c r="L49" i="14"/>
  <c r="V48" i="14"/>
  <c r="T48" i="14"/>
  <c r="S48" i="14"/>
  <c r="R48" i="14"/>
  <c r="P48" i="14"/>
  <c r="N48" i="14"/>
  <c r="M48" i="14"/>
  <c r="L48" i="14"/>
  <c r="V46" i="14"/>
  <c r="U46" i="14"/>
  <c r="T46" i="14"/>
  <c r="R46" i="14"/>
  <c r="P46" i="14"/>
  <c r="N46" i="14"/>
  <c r="L46" i="14"/>
  <c r="V45" i="14"/>
  <c r="T45" i="14"/>
  <c r="S45" i="14"/>
  <c r="R45" i="14"/>
  <c r="P45" i="14"/>
  <c r="N45" i="14"/>
  <c r="M45" i="14"/>
  <c r="V44" i="14"/>
  <c r="T44" i="14"/>
  <c r="S44" i="14"/>
  <c r="R44" i="14"/>
  <c r="P44" i="14"/>
  <c r="N44" i="14"/>
  <c r="M44" i="14"/>
  <c r="V43" i="14"/>
  <c r="T43" i="14"/>
  <c r="S43" i="14"/>
  <c r="R43" i="14"/>
  <c r="P43" i="14"/>
  <c r="N43" i="14"/>
  <c r="M43" i="14"/>
  <c r="V42" i="14"/>
  <c r="T42" i="14"/>
  <c r="S42" i="14"/>
  <c r="R42" i="14"/>
  <c r="P42" i="14"/>
  <c r="N42" i="14"/>
  <c r="M42" i="14"/>
  <c r="V41" i="14"/>
  <c r="T41" i="14"/>
  <c r="S41" i="14"/>
  <c r="R41" i="14"/>
  <c r="P41" i="14"/>
  <c r="N41" i="14"/>
  <c r="M41" i="14"/>
  <c r="V40" i="14"/>
  <c r="T40" i="14"/>
  <c r="S40" i="14"/>
  <c r="R40" i="14"/>
  <c r="P40" i="14"/>
  <c r="N40" i="14"/>
  <c r="M40" i="14"/>
  <c r="L45" i="14"/>
  <c r="L44" i="14"/>
  <c r="L43" i="14"/>
  <c r="L42" i="14"/>
  <c r="L41" i="14"/>
  <c r="L40" i="14"/>
  <c r="V39" i="14"/>
  <c r="T39" i="14"/>
  <c r="S39" i="14"/>
  <c r="R39" i="14"/>
  <c r="P39" i="14"/>
  <c r="N39" i="14"/>
  <c r="M39" i="14"/>
  <c r="L39" i="14"/>
  <c r="P25" i="7"/>
  <c r="P21" i="7"/>
  <c r="P22" i="7" s="1"/>
  <c r="H140" i="1"/>
  <c r="W31" i="3"/>
  <c r="W22" i="3"/>
  <c r="A2" i="12" l="1"/>
  <c r="D12" i="7" a="1"/>
  <c r="D12" i="7" s="1"/>
  <c r="K38" i="7"/>
  <c r="J38" i="7"/>
  <c r="I38" i="7"/>
  <c r="H38" i="7"/>
  <c r="M38" i="7" s="1"/>
  <c r="G38" i="7"/>
  <c r="K37" i="7"/>
  <c r="J37" i="7"/>
  <c r="I37" i="7"/>
  <c r="H37" i="7"/>
  <c r="M37" i="7" s="1"/>
  <c r="G37" i="7"/>
  <c r="K36" i="7"/>
  <c r="J36" i="7"/>
  <c r="I36" i="7"/>
  <c r="H36" i="7"/>
  <c r="M36" i="7" s="1"/>
  <c r="G36" i="7"/>
  <c r="K35" i="7"/>
  <c r="J35" i="7"/>
  <c r="I35" i="7"/>
  <c r="H35" i="7"/>
  <c r="M35" i="7" s="1"/>
  <c r="G35" i="7"/>
  <c r="K34" i="7"/>
  <c r="I34" i="7"/>
  <c r="J34" i="7"/>
  <c r="G34" i="7"/>
  <c r="H34" i="7"/>
  <c r="L34" i="7" l="1"/>
  <c r="M34" i="7" s="1"/>
  <c r="M39" i="7" s="1"/>
  <c r="M40" i="7" s="1"/>
  <c r="L37" i="7"/>
  <c r="L38" i="7"/>
  <c r="L36" i="7"/>
  <c r="L35" i="7"/>
  <c r="K25" i="7"/>
  <c r="R15" i="13"/>
  <c r="Y26" i="13"/>
  <c r="A17" i="13"/>
  <c r="D11" i="7" l="1"/>
  <c r="B32" i="4" l="1"/>
  <c r="B33" i="4" s="1"/>
  <c r="D45" i="3"/>
  <c r="D65" i="3" s="1"/>
  <c r="M45" i="3"/>
  <c r="C45" i="3"/>
  <c r="C65" i="3" s="1"/>
  <c r="G45" i="3"/>
  <c r="G65" i="3" s="1"/>
  <c r="D44" i="3"/>
  <c r="D64" i="3" s="1"/>
  <c r="M44" i="3"/>
  <c r="H44" i="3"/>
  <c r="H64" i="3" s="1"/>
  <c r="I44" i="3"/>
  <c r="C44" i="3"/>
  <c r="C64" i="3" s="1"/>
  <c r="K64" i="3" s="1"/>
  <c r="G44" i="3"/>
  <c r="G64" i="3" s="1"/>
  <c r="J58" i="3"/>
  <c r="J52" i="3"/>
  <c r="F45" i="3"/>
  <c r="F44" i="3"/>
  <c r="F6" i="3"/>
  <c r="F5" i="3"/>
  <c r="M5" i="3"/>
  <c r="D5" i="3"/>
  <c r="D24" i="3" s="1"/>
  <c r="C5" i="3"/>
  <c r="H5" i="3"/>
  <c r="H24" i="3" s="1"/>
  <c r="I5" i="3"/>
  <c r="I24" i="3" s="1"/>
  <c r="F4" i="3"/>
  <c r="M4" i="3"/>
  <c r="D4" i="3"/>
  <c r="C4" i="3"/>
  <c r="H4" i="3"/>
  <c r="I4" i="3"/>
  <c r="I14" i="3" s="1"/>
  <c r="G4" i="3"/>
  <c r="G23" i="3" s="1"/>
  <c r="D6" i="3"/>
  <c r="D34" i="3" s="1"/>
  <c r="C10" i="12"/>
  <c r="D4" i="12"/>
  <c r="B2" i="13"/>
  <c r="A5" i="13" s="1"/>
  <c r="B23" i="13"/>
  <c r="B22" i="13"/>
  <c r="B21" i="13"/>
  <c r="A21" i="13"/>
  <c r="B20" i="13"/>
  <c r="A20" i="13"/>
  <c r="A19" i="13"/>
  <c r="A6" i="13"/>
  <c r="AB33" i="13"/>
  <c r="AB32" i="13"/>
  <c r="X30" i="13"/>
  <c r="U30" i="13"/>
  <c r="Q30" i="13"/>
  <c r="H13" i="5"/>
  <c r="AB28" i="13"/>
  <c r="AB27" i="13"/>
  <c r="O25" i="13"/>
  <c r="AB16" i="13"/>
  <c r="AB14" i="13"/>
  <c r="AB13" i="13"/>
  <c r="AB12" i="13"/>
  <c r="AB11" i="13"/>
  <c r="AB10" i="13"/>
  <c r="AB8" i="13"/>
  <c r="AB7" i="13"/>
  <c r="AB6" i="13"/>
  <c r="AB5" i="13"/>
  <c r="L20" i="4"/>
  <c r="L42" i="12"/>
  <c r="S41" i="12"/>
  <c r="J20" i="12"/>
  <c r="K17" i="12"/>
  <c r="F17" i="12"/>
  <c r="S16" i="12"/>
  <c r="K16" i="12"/>
  <c r="O13" i="12"/>
  <c r="N13" i="12"/>
  <c r="M13" i="12"/>
  <c r="L13" i="12"/>
  <c r="K13" i="12"/>
  <c r="J13" i="12"/>
  <c r="I13" i="12"/>
  <c r="H13" i="12"/>
  <c r="C13" i="12"/>
  <c r="B13" i="12"/>
  <c r="A13" i="12"/>
  <c r="O12" i="12"/>
  <c r="N12" i="12"/>
  <c r="M12" i="12"/>
  <c r="L12" i="12"/>
  <c r="K12" i="12"/>
  <c r="J12" i="12"/>
  <c r="I12" i="12"/>
  <c r="H12" i="12"/>
  <c r="C12" i="12"/>
  <c r="B12" i="12"/>
  <c r="A12" i="12"/>
  <c r="O11" i="12"/>
  <c r="N11" i="12"/>
  <c r="M11" i="12"/>
  <c r="L11" i="12"/>
  <c r="K11" i="12"/>
  <c r="J11" i="12"/>
  <c r="I11" i="12"/>
  <c r="H11" i="12"/>
  <c r="C11" i="12"/>
  <c r="B11" i="12"/>
  <c r="A11" i="12"/>
  <c r="O10" i="12"/>
  <c r="B10" i="12"/>
  <c r="N10" i="12"/>
  <c r="M10" i="12"/>
  <c r="L10" i="12"/>
  <c r="K10" i="12"/>
  <c r="J10" i="12"/>
  <c r="I10" i="12"/>
  <c r="H10" i="12"/>
  <c r="A10" i="12"/>
  <c r="Q7" i="12"/>
  <c r="Q6" i="12"/>
  <c r="U5" i="12"/>
  <c r="U4" i="12"/>
  <c r="P5" i="12"/>
  <c r="P4" i="12"/>
  <c r="L5" i="12"/>
  <c r="L4" i="12"/>
  <c r="D5" i="12"/>
  <c r="M144" i="1"/>
  <c r="L144" i="1"/>
  <c r="K144" i="1"/>
  <c r="F22" i="8" s="1"/>
  <c r="M143" i="1"/>
  <c r="L143" i="1"/>
  <c r="K143" i="1"/>
  <c r="F21" i="8" s="1"/>
  <c r="M142" i="1"/>
  <c r="L142" i="1"/>
  <c r="K142" i="1"/>
  <c r="F20" i="8" s="1"/>
  <c r="M141" i="1"/>
  <c r="L141" i="1"/>
  <c r="K141" i="1"/>
  <c r="F19" i="8" s="1"/>
  <c r="M140" i="1"/>
  <c r="L140" i="1"/>
  <c r="K130" i="1"/>
  <c r="F3" i="8" s="1"/>
  <c r="M137" i="1"/>
  <c r="L137" i="1"/>
  <c r="K137" i="1"/>
  <c r="F10" i="8" s="1"/>
  <c r="M136" i="1"/>
  <c r="L136" i="1"/>
  <c r="K136" i="1"/>
  <c r="F9" i="8" s="1"/>
  <c r="M135" i="1"/>
  <c r="L135" i="1"/>
  <c r="K135" i="1"/>
  <c r="F8" i="8" s="1"/>
  <c r="M134" i="1"/>
  <c r="L134" i="1"/>
  <c r="K134" i="1"/>
  <c r="F7" i="8" s="1"/>
  <c r="M133" i="1"/>
  <c r="L133" i="1"/>
  <c r="K133" i="1"/>
  <c r="F6" i="8" s="1"/>
  <c r="M132" i="1"/>
  <c r="L132" i="1"/>
  <c r="K132" i="1"/>
  <c r="F5" i="8" s="1"/>
  <c r="M131" i="1"/>
  <c r="L131" i="1"/>
  <c r="K131" i="1"/>
  <c r="F4" i="8" s="1"/>
  <c r="M130" i="1"/>
  <c r="L130" i="1"/>
  <c r="S77" i="1"/>
  <c r="A144" i="1"/>
  <c r="A22" i="8" s="1"/>
  <c r="A143" i="1"/>
  <c r="A21" i="8" s="1"/>
  <c r="A142" i="1"/>
  <c r="A20" i="8" s="1"/>
  <c r="A141" i="1"/>
  <c r="A19" i="8" s="1"/>
  <c r="A140" i="1"/>
  <c r="A18" i="8" s="1"/>
  <c r="B22" i="8"/>
  <c r="B21" i="8"/>
  <c r="B20" i="8"/>
  <c r="B19" i="8"/>
  <c r="B18" i="8"/>
  <c r="B10" i="8"/>
  <c r="B9" i="8"/>
  <c r="B8" i="8"/>
  <c r="B7" i="8"/>
  <c r="B6" i="8"/>
  <c r="B5" i="8"/>
  <c r="B4" i="8"/>
  <c r="B3" i="8"/>
  <c r="J68" i="3"/>
  <c r="I68" i="3"/>
  <c r="H68" i="3"/>
  <c r="J67" i="3"/>
  <c r="I67" i="3"/>
  <c r="H67" i="3"/>
  <c r="J66" i="3"/>
  <c r="I66" i="3"/>
  <c r="H66" i="3"/>
  <c r="J65" i="3"/>
  <c r="I65" i="3"/>
  <c r="H65" i="3"/>
  <c r="J64" i="3"/>
  <c r="J21" i="3"/>
  <c r="J20" i="3"/>
  <c r="J19" i="3"/>
  <c r="J18" i="3"/>
  <c r="J17" i="3"/>
  <c r="J16" i="3"/>
  <c r="J62" i="3"/>
  <c r="I62" i="3"/>
  <c r="H62" i="3"/>
  <c r="J61" i="3"/>
  <c r="I61" i="3"/>
  <c r="H61" i="3"/>
  <c r="J60" i="3"/>
  <c r="I60" i="3"/>
  <c r="H60" i="3"/>
  <c r="J59" i="3"/>
  <c r="I59" i="3"/>
  <c r="H59" i="3"/>
  <c r="J56" i="3"/>
  <c r="I56" i="3"/>
  <c r="H56" i="3"/>
  <c r="J55" i="3"/>
  <c r="I55" i="3"/>
  <c r="H55" i="3"/>
  <c r="J54" i="3"/>
  <c r="I54" i="3"/>
  <c r="H54" i="3"/>
  <c r="J53" i="3"/>
  <c r="I53" i="3"/>
  <c r="H53" i="3"/>
  <c r="J44" i="3"/>
  <c r="C48" i="3"/>
  <c r="C56" i="3" s="1"/>
  <c r="C47" i="3"/>
  <c r="C55" i="3" s="1"/>
  <c r="C46" i="3"/>
  <c r="C54" i="3" s="1"/>
  <c r="K54" i="3" s="1"/>
  <c r="C11" i="3"/>
  <c r="C39" i="3" s="1"/>
  <c r="C10" i="3"/>
  <c r="C20" i="3" s="1"/>
  <c r="K20" i="3" s="1"/>
  <c r="C9" i="3"/>
  <c r="C19" i="3" s="1"/>
  <c r="K19" i="3" s="1"/>
  <c r="C8" i="3"/>
  <c r="C18" i="3" s="1"/>
  <c r="K18" i="3" s="1"/>
  <c r="C7" i="3"/>
  <c r="C26" i="3" s="1"/>
  <c r="K26" i="3" s="1"/>
  <c r="C6" i="3"/>
  <c r="C25" i="3" s="1"/>
  <c r="K25" i="3" s="1"/>
  <c r="J15" i="3"/>
  <c r="J11" i="3"/>
  <c r="J39" i="3" s="1"/>
  <c r="I11" i="3"/>
  <c r="I39" i="3" s="1"/>
  <c r="H11" i="3"/>
  <c r="H30" i="3" s="1"/>
  <c r="J10" i="3"/>
  <c r="J29" i="3" s="1"/>
  <c r="I10" i="3"/>
  <c r="I20" i="3" s="1"/>
  <c r="H10" i="3"/>
  <c r="H20" i="3" s="1"/>
  <c r="J9" i="3"/>
  <c r="J37" i="3" s="1"/>
  <c r="I9" i="3"/>
  <c r="I19" i="3" s="1"/>
  <c r="H9" i="3"/>
  <c r="H19" i="3" s="1"/>
  <c r="J8" i="3"/>
  <c r="J27" i="3" s="1"/>
  <c r="I8" i="3"/>
  <c r="H8" i="3"/>
  <c r="H36" i="3" s="1"/>
  <c r="J7" i="3"/>
  <c r="J26" i="3" s="1"/>
  <c r="I7" i="3"/>
  <c r="I35" i="3" s="1"/>
  <c r="H7" i="3"/>
  <c r="H26" i="3" s="1"/>
  <c r="J6" i="3"/>
  <c r="J25" i="3" s="1"/>
  <c r="I6" i="3"/>
  <c r="I25" i="3" s="1"/>
  <c r="H6" i="3"/>
  <c r="H25" i="3" s="1"/>
  <c r="J5" i="3"/>
  <c r="J33" i="3" s="1"/>
  <c r="C1" i="8"/>
  <c r="E32" i="4"/>
  <c r="D6" i="7"/>
  <c r="C16" i="7" s="1"/>
  <c r="O130" i="1"/>
  <c r="H3" i="8" s="1"/>
  <c r="L22" i="4"/>
  <c r="L21" i="4"/>
  <c r="L19" i="4"/>
  <c r="L18" i="4"/>
  <c r="E26" i="4"/>
  <c r="E24" i="4"/>
  <c r="L24" i="4"/>
  <c r="L23" i="4"/>
  <c r="K18" i="4"/>
  <c r="B45" i="5"/>
  <c r="K22" i="4"/>
  <c r="K21" i="4"/>
  <c r="K20" i="4"/>
  <c r="K19" i="4"/>
  <c r="K4" i="4"/>
  <c r="K6" i="4" s="1"/>
  <c r="O140" i="1"/>
  <c r="H18" i="8" s="1"/>
  <c r="K140" i="1"/>
  <c r="F18" i="8" s="1"/>
  <c r="J140" i="1"/>
  <c r="E18" i="8" s="1"/>
  <c r="I140" i="1"/>
  <c r="D18" i="8" s="1"/>
  <c r="C18" i="8"/>
  <c r="H19" i="5"/>
  <c r="H18" i="5"/>
  <c r="G32" i="7"/>
  <c r="D16" i="5"/>
  <c r="I2" i="5"/>
  <c r="G6" i="8"/>
  <c r="V6" i="8" s="1"/>
  <c r="G5" i="8"/>
  <c r="V5" i="8" s="1"/>
  <c r="G3" i="8"/>
  <c r="V3" i="8" s="1"/>
  <c r="C14" i="5"/>
  <c r="B14" i="5" s="1"/>
  <c r="C140" i="1"/>
  <c r="O131" i="1"/>
  <c r="H4" i="8" s="1"/>
  <c r="J131" i="1"/>
  <c r="E4" i="8" s="1"/>
  <c r="I131" i="1"/>
  <c r="D4" i="8" s="1"/>
  <c r="H131" i="1"/>
  <c r="C4" i="8" s="1"/>
  <c r="C131" i="1"/>
  <c r="A131" i="1"/>
  <c r="A4" i="8" s="1"/>
  <c r="A133" i="1"/>
  <c r="A6" i="8" s="1"/>
  <c r="A132" i="1"/>
  <c r="A5" i="8" s="1"/>
  <c r="J130" i="1"/>
  <c r="E3" i="8" s="1"/>
  <c r="I130" i="1"/>
  <c r="D3" i="8" s="1"/>
  <c r="H130" i="1"/>
  <c r="C3" i="8" s="1"/>
  <c r="C130" i="1"/>
  <c r="S29" i="1"/>
  <c r="S24" i="1"/>
  <c r="S17" i="12" s="1"/>
  <c r="H133" i="1"/>
  <c r="C6" i="8" s="1"/>
  <c r="D10" i="7"/>
  <c r="S148" i="1"/>
  <c r="C141" i="1"/>
  <c r="O132" i="1"/>
  <c r="H5" i="8" s="1"/>
  <c r="J132" i="1"/>
  <c r="E5" i="8" s="1"/>
  <c r="I132" i="1"/>
  <c r="D5" i="8" s="1"/>
  <c r="H132" i="1"/>
  <c r="C5" i="8" s="1"/>
  <c r="C132" i="1"/>
  <c r="G22" i="8"/>
  <c r="G21" i="8"/>
  <c r="G20" i="8"/>
  <c r="G19" i="8"/>
  <c r="G18" i="8"/>
  <c r="E6" i="3"/>
  <c r="E16" i="3" s="1"/>
  <c r="G10" i="8"/>
  <c r="V10" i="8" s="1"/>
  <c r="G9" i="8"/>
  <c r="V9" i="8" s="1"/>
  <c r="G8" i="8"/>
  <c r="V8" i="8" s="1"/>
  <c r="G7" i="8"/>
  <c r="V7" i="8" s="1"/>
  <c r="G4" i="8"/>
  <c r="V4" i="8" s="1"/>
  <c r="O144" i="1"/>
  <c r="H22" i="8" s="1"/>
  <c r="J144" i="1"/>
  <c r="E22" i="8" s="1"/>
  <c r="I144" i="1"/>
  <c r="D22" i="8" s="1"/>
  <c r="H144" i="1"/>
  <c r="C22" i="8" s="1"/>
  <c r="C144" i="1"/>
  <c r="O143" i="1"/>
  <c r="H21" i="8" s="1"/>
  <c r="J143" i="1"/>
  <c r="E21" i="8" s="1"/>
  <c r="I143" i="1"/>
  <c r="D21" i="8" s="1"/>
  <c r="H143" i="1"/>
  <c r="C21" i="8" s="1"/>
  <c r="C143" i="1"/>
  <c r="O142" i="1"/>
  <c r="H20" i="8" s="1"/>
  <c r="J142" i="1"/>
  <c r="E20" i="8" s="1"/>
  <c r="I142" i="1"/>
  <c r="D20" i="8" s="1"/>
  <c r="H142" i="1"/>
  <c r="C20" i="8" s="1"/>
  <c r="C142" i="1"/>
  <c r="O141" i="1"/>
  <c r="H19" i="8" s="1"/>
  <c r="J141" i="1"/>
  <c r="E19" i="8" s="1"/>
  <c r="I141" i="1"/>
  <c r="D19" i="8" s="1"/>
  <c r="H141" i="1"/>
  <c r="C19" i="8" s="1"/>
  <c r="O137" i="1"/>
  <c r="H10" i="8" s="1"/>
  <c r="J137" i="1"/>
  <c r="E10" i="8" s="1"/>
  <c r="I137" i="1"/>
  <c r="D10" i="8" s="1"/>
  <c r="H137" i="1"/>
  <c r="C10" i="8" s="1"/>
  <c r="U10" i="8" s="1"/>
  <c r="C137" i="1"/>
  <c r="A137" i="1"/>
  <c r="A10" i="8" s="1"/>
  <c r="O136" i="1"/>
  <c r="H9" i="8" s="1"/>
  <c r="J136" i="1"/>
  <c r="E9" i="8" s="1"/>
  <c r="I136" i="1"/>
  <c r="D9" i="8" s="1"/>
  <c r="H136" i="1"/>
  <c r="C9" i="8" s="1"/>
  <c r="U9" i="8" s="1"/>
  <c r="C136" i="1"/>
  <c r="A136" i="1"/>
  <c r="A9" i="8" s="1"/>
  <c r="O135" i="1"/>
  <c r="H8" i="8" s="1"/>
  <c r="J135" i="1"/>
  <c r="E8" i="8" s="1"/>
  <c r="I135" i="1"/>
  <c r="D8" i="8" s="1"/>
  <c r="H135" i="1"/>
  <c r="C8" i="8" s="1"/>
  <c r="C135" i="1"/>
  <c r="A135" i="1"/>
  <c r="A8" i="8" s="1"/>
  <c r="O134" i="1"/>
  <c r="H7" i="8" s="1"/>
  <c r="J134" i="1"/>
  <c r="E7" i="8" s="1"/>
  <c r="I134" i="1"/>
  <c r="D7" i="8" s="1"/>
  <c r="H134" i="1"/>
  <c r="C7" i="8" s="1"/>
  <c r="C134" i="1"/>
  <c r="A134" i="1"/>
  <c r="A7" i="8" s="1"/>
  <c r="O133" i="1"/>
  <c r="H6" i="8" s="1"/>
  <c r="J133" i="1"/>
  <c r="E6" i="8" s="1"/>
  <c r="I133" i="1"/>
  <c r="D6" i="8" s="1"/>
  <c r="C133" i="1"/>
  <c r="A130" i="1"/>
  <c r="A3" i="8" s="1"/>
  <c r="D8" i="7"/>
  <c r="G14" i="7" s="1"/>
  <c r="I14" i="7" s="1"/>
  <c r="D7" i="7"/>
  <c r="G13" i="7" s="1"/>
  <c r="I13" i="7" s="1"/>
  <c r="D5" i="7"/>
  <c r="K28" i="7" s="1"/>
  <c r="H2" i="6"/>
  <c r="H10" i="6"/>
  <c r="H9" i="6"/>
  <c r="H8" i="6"/>
  <c r="H7" i="6"/>
  <c r="E1" i="6"/>
  <c r="B13" i="5"/>
  <c r="D1" i="5"/>
  <c r="B33" i="5" s="1"/>
  <c r="H23" i="4"/>
  <c r="G7" i="4"/>
  <c r="G11" i="4" s="1"/>
  <c r="B26" i="4"/>
  <c r="B24" i="4"/>
  <c r="D1" i="4"/>
  <c r="G6" i="4" s="1"/>
  <c r="B6" i="4"/>
  <c r="B3" i="4"/>
  <c r="B19" i="4" s="1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M48" i="3"/>
  <c r="J48" i="3"/>
  <c r="G48" i="3"/>
  <c r="G56" i="3" s="1"/>
  <c r="F48" i="3"/>
  <c r="Q48" i="3" s="1"/>
  <c r="Q37" i="1" s="1"/>
  <c r="E48" i="3"/>
  <c r="E62" i="3" s="1"/>
  <c r="D48" i="3"/>
  <c r="D68" i="3" s="1"/>
  <c r="P68" i="3" s="1"/>
  <c r="B48" i="3"/>
  <c r="B68" i="3" s="1"/>
  <c r="M47" i="3"/>
  <c r="J47" i="3"/>
  <c r="G47" i="3"/>
  <c r="F47" i="3"/>
  <c r="E47" i="3"/>
  <c r="D47" i="3"/>
  <c r="B47" i="3"/>
  <c r="B61" i="3" s="1"/>
  <c r="M46" i="3"/>
  <c r="J46" i="3"/>
  <c r="G46" i="3"/>
  <c r="F46" i="3"/>
  <c r="E46" i="3"/>
  <c r="E60" i="3" s="1"/>
  <c r="D46" i="3"/>
  <c r="B46" i="3"/>
  <c r="B66" i="3" s="1"/>
  <c r="J45" i="3"/>
  <c r="E45" i="3"/>
  <c r="E59" i="3" s="1"/>
  <c r="B45" i="3"/>
  <c r="E44" i="3"/>
  <c r="E52" i="3" s="1"/>
  <c r="B44" i="3"/>
  <c r="B52" i="3" s="1"/>
  <c r="S44" i="3"/>
  <c r="M11" i="3"/>
  <c r="M10" i="3"/>
  <c r="M9" i="3"/>
  <c r="M8" i="3"/>
  <c r="M7" i="3"/>
  <c r="M6" i="3"/>
  <c r="G11" i="3"/>
  <c r="G39" i="3" s="1"/>
  <c r="G10" i="3"/>
  <c r="G20" i="3" s="1"/>
  <c r="G9" i="3"/>
  <c r="G37" i="3" s="1"/>
  <c r="G8" i="3"/>
  <c r="G27" i="3" s="1"/>
  <c r="G7" i="3"/>
  <c r="G17" i="3" s="1"/>
  <c r="G6" i="3"/>
  <c r="G25" i="3" s="1"/>
  <c r="G5" i="3"/>
  <c r="G15" i="3" s="1"/>
  <c r="F11" i="3"/>
  <c r="Q11" i="3" s="1"/>
  <c r="F10" i="3"/>
  <c r="Q10" i="3" s="1"/>
  <c r="Q18" i="1" s="1"/>
  <c r="F9" i="3"/>
  <c r="F8" i="3"/>
  <c r="F7" i="3"/>
  <c r="E11" i="3"/>
  <c r="E39" i="3" s="1"/>
  <c r="D11" i="3"/>
  <c r="D39" i="3" s="1"/>
  <c r="B11" i="3"/>
  <c r="T11" i="3" s="1"/>
  <c r="E10" i="3"/>
  <c r="D10" i="3"/>
  <c r="D29" i="3" s="1"/>
  <c r="B10" i="3"/>
  <c r="T10" i="3" s="1"/>
  <c r="E9" i="3"/>
  <c r="D9" i="3"/>
  <c r="D37" i="3" s="1"/>
  <c r="B9" i="3"/>
  <c r="E8" i="3"/>
  <c r="E36" i="3" s="1"/>
  <c r="D8" i="3"/>
  <c r="D27" i="3" s="1"/>
  <c r="B8" i="3"/>
  <c r="E7" i="3"/>
  <c r="E26" i="3" s="1"/>
  <c r="D7" i="3"/>
  <c r="D26" i="3" s="1"/>
  <c r="B7" i="3"/>
  <c r="B6" i="3"/>
  <c r="E5" i="3"/>
  <c r="E15" i="3" s="1"/>
  <c r="B5" i="3"/>
  <c r="J14" i="3"/>
  <c r="J4" i="3"/>
  <c r="J23" i="3" s="1"/>
  <c r="S4" i="3"/>
  <c r="E4" i="3"/>
  <c r="B4" i="3"/>
  <c r="U4" i="3" s="1"/>
  <c r="P20" i="8" l="1"/>
  <c r="Q20" i="8" s="1"/>
  <c r="R20" i="8" s="1"/>
  <c r="O20" i="8"/>
  <c r="P21" i="8"/>
  <c r="O21" i="8"/>
  <c r="P19" i="8"/>
  <c r="O19" i="8"/>
  <c r="P18" i="8"/>
  <c r="O18" i="8"/>
  <c r="P4" i="8"/>
  <c r="O4" i="8"/>
  <c r="P3" i="8"/>
  <c r="O3" i="8"/>
  <c r="P7" i="8"/>
  <c r="O7" i="8"/>
  <c r="P5" i="8"/>
  <c r="O5" i="8"/>
  <c r="P8" i="8"/>
  <c r="O8" i="8"/>
  <c r="P6" i="8"/>
  <c r="O6" i="8"/>
  <c r="B8" i="6"/>
  <c r="B7" i="6"/>
  <c r="T34" i="4"/>
  <c r="G12" i="4"/>
  <c r="H37" i="4"/>
  <c r="H27" i="4"/>
  <c r="T4" i="4"/>
  <c r="T25" i="4"/>
  <c r="T15" i="4"/>
  <c r="U13" i="4"/>
  <c r="T13" i="4" s="1"/>
  <c r="G19" i="4"/>
  <c r="G18" i="4"/>
  <c r="G17" i="4"/>
  <c r="P28" i="7"/>
  <c r="W26" i="3"/>
  <c r="W27" i="3"/>
  <c r="W24" i="3"/>
  <c r="W37" i="3"/>
  <c r="W29" i="3"/>
  <c r="P29" i="3"/>
  <c r="P39" i="3"/>
  <c r="W39" i="3"/>
  <c r="W34" i="3"/>
  <c r="C24" i="3"/>
  <c r="K24" i="3" s="1"/>
  <c r="C15" i="3"/>
  <c r="K15" i="3" s="1"/>
  <c r="C23" i="3"/>
  <c r="K23" i="3" s="1"/>
  <c r="C14" i="3"/>
  <c r="K14" i="3" s="1"/>
  <c r="H23" i="3"/>
  <c r="H14" i="3"/>
  <c r="D23" i="3"/>
  <c r="W23" i="3" s="1"/>
  <c r="D14" i="3"/>
  <c r="W14" i="3" s="1"/>
  <c r="E23" i="3"/>
  <c r="E14" i="3"/>
  <c r="K55" i="3"/>
  <c r="H20" i="5"/>
  <c r="R48" i="3"/>
  <c r="S37" i="1" s="1"/>
  <c r="O47" i="3"/>
  <c r="T47" i="3" s="1"/>
  <c r="D19" i="3"/>
  <c r="B56" i="3"/>
  <c r="D56" i="3"/>
  <c r="P56" i="3" s="1"/>
  <c r="R56" i="3" s="1"/>
  <c r="K39" i="3"/>
  <c r="L4" i="7"/>
  <c r="B5" i="13"/>
  <c r="A27" i="13"/>
  <c r="A28" i="13" s="1"/>
  <c r="A29" i="13" s="1"/>
  <c r="O45" i="3"/>
  <c r="U45" i="3" s="1"/>
  <c r="B55" i="3"/>
  <c r="E30" i="3"/>
  <c r="E21" i="3"/>
  <c r="D62" i="3"/>
  <c r="P62" i="3" s="1"/>
  <c r="R62" i="3" s="1"/>
  <c r="B67" i="3"/>
  <c r="I21" i="8"/>
  <c r="M21" i="8" s="1"/>
  <c r="E27" i="4"/>
  <c r="E28" i="4" s="1"/>
  <c r="E29" i="4" s="1"/>
  <c r="E30" i="4" s="1"/>
  <c r="E35" i="4" s="1"/>
  <c r="F56" i="3"/>
  <c r="J36" i="3"/>
  <c r="J35" i="3"/>
  <c r="I6" i="8"/>
  <c r="M6" i="8" s="1"/>
  <c r="N6" i="8" s="1"/>
  <c r="H22" i="5"/>
  <c r="U10" i="3"/>
  <c r="G35" i="3"/>
  <c r="C36" i="3"/>
  <c r="I10" i="8"/>
  <c r="M10" i="8" s="1"/>
  <c r="F61" i="3"/>
  <c r="D33" i="3"/>
  <c r="G58" i="3"/>
  <c r="E33" i="3"/>
  <c r="I18" i="8"/>
  <c r="M18" i="8" s="1"/>
  <c r="E32" i="3"/>
  <c r="C66" i="3"/>
  <c r="K66" i="3" s="1"/>
  <c r="B31" i="5"/>
  <c r="K25" i="4"/>
  <c r="K26" i="4" s="1"/>
  <c r="G16" i="3"/>
  <c r="C60" i="3"/>
  <c r="K60" i="3" s="1"/>
  <c r="D32" i="3"/>
  <c r="W32" i="3" s="1"/>
  <c r="U48" i="3"/>
  <c r="E53" i="3"/>
  <c r="O9" i="3"/>
  <c r="U9" i="3" s="1"/>
  <c r="G53" i="3"/>
  <c r="I17" i="3"/>
  <c r="D30" i="3"/>
  <c r="E65" i="3"/>
  <c r="T48" i="3"/>
  <c r="D28" i="3"/>
  <c r="H32" i="3"/>
  <c r="G59" i="3"/>
  <c r="B4" i="4"/>
  <c r="B62" i="3"/>
  <c r="C17" i="3"/>
  <c r="D21" i="3"/>
  <c r="G34" i="3"/>
  <c r="O5" i="3"/>
  <c r="T5" i="3" s="1"/>
  <c r="H21" i="5"/>
  <c r="O11" i="3"/>
  <c r="I3" i="8"/>
  <c r="M3" i="8" s="1"/>
  <c r="N3" i="8" s="1"/>
  <c r="C67" i="3"/>
  <c r="K67" i="3" s="1"/>
  <c r="H38" i="3"/>
  <c r="H33" i="3"/>
  <c r="F58" i="3"/>
  <c r="L6" i="4"/>
  <c r="I19" i="8"/>
  <c r="M19" i="8" s="1"/>
  <c r="C33" i="3"/>
  <c r="K33" i="3" s="1"/>
  <c r="T7" i="3"/>
  <c r="K7" i="4"/>
  <c r="C58" i="3"/>
  <c r="K58" i="3" s="1"/>
  <c r="E56" i="3"/>
  <c r="U47" i="3"/>
  <c r="E24" i="3"/>
  <c r="G21" i="3"/>
  <c r="B54" i="3"/>
  <c r="I30" i="3"/>
  <c r="U46" i="3"/>
  <c r="F62" i="3"/>
  <c r="C35" i="3"/>
  <c r="H29" i="3"/>
  <c r="I26" i="3"/>
  <c r="C32" i="3"/>
  <c r="K32" i="3" s="1"/>
  <c r="I23" i="3"/>
  <c r="I5" i="8"/>
  <c r="M5" i="8" s="1"/>
  <c r="N5" i="8" s="1"/>
  <c r="C38" i="3"/>
  <c r="E19" i="3"/>
  <c r="G26" i="3"/>
  <c r="F26" i="3"/>
  <c r="W10" i="8"/>
  <c r="X10" i="8" s="1"/>
  <c r="K10" i="8" s="1"/>
  <c r="S137" i="1" s="1"/>
  <c r="C52" i="3"/>
  <c r="K52" i="3" s="1"/>
  <c r="D59" i="3"/>
  <c r="O4" i="3"/>
  <c r="T4" i="3" s="1"/>
  <c r="G18" i="3"/>
  <c r="J30" i="3"/>
  <c r="E68" i="3"/>
  <c r="Q68" i="3" s="1"/>
  <c r="I37" i="3"/>
  <c r="G32" i="3"/>
  <c r="F53" i="3"/>
  <c r="U11" i="3"/>
  <c r="C29" i="3"/>
  <c r="K29" i="3" s="1"/>
  <c r="I32" i="3"/>
  <c r="G30" i="3"/>
  <c r="G38" i="3"/>
  <c r="F67" i="3"/>
  <c r="C27" i="3"/>
  <c r="J34" i="3"/>
  <c r="A24" i="13"/>
  <c r="A25" i="13" s="1"/>
  <c r="F29" i="3"/>
  <c r="F27" i="3"/>
  <c r="D18" i="3"/>
  <c r="D36" i="3"/>
  <c r="R10" i="3"/>
  <c r="S18" i="1" s="1"/>
  <c r="I20" i="8"/>
  <c r="M20" i="8" s="1"/>
  <c r="N20" i="8" s="1"/>
  <c r="H16" i="3"/>
  <c r="B10" i="4"/>
  <c r="E66" i="3"/>
  <c r="D66" i="3"/>
  <c r="D55" i="3"/>
  <c r="I21" i="3"/>
  <c r="F64" i="3"/>
  <c r="O44" i="3"/>
  <c r="T44" i="3" s="1"/>
  <c r="G28" i="3"/>
  <c r="G21" i="7"/>
  <c r="I9" i="8"/>
  <c r="M9" i="8" s="1"/>
  <c r="E34" i="3"/>
  <c r="F39" i="3"/>
  <c r="G19" i="3"/>
  <c r="F60" i="3"/>
  <c r="D67" i="3"/>
  <c r="H28" i="3"/>
  <c r="H34" i="3"/>
  <c r="G52" i="3"/>
  <c r="I7" i="8"/>
  <c r="M7" i="8" s="1"/>
  <c r="N7" i="8" s="1"/>
  <c r="D54" i="3"/>
  <c r="D61" i="3"/>
  <c r="I8" i="8"/>
  <c r="M8" i="8" s="1"/>
  <c r="N8" i="8" s="1"/>
  <c r="E25" i="3"/>
  <c r="G36" i="3"/>
  <c r="O7" i="3"/>
  <c r="U7" i="3" s="1"/>
  <c r="W9" i="8"/>
  <c r="J9" i="8" s="1"/>
  <c r="Q136" i="1" s="1"/>
  <c r="L25" i="4"/>
  <c r="L26" i="4" s="1"/>
  <c r="I28" i="3"/>
  <c r="I16" i="3"/>
  <c r="G14" i="3"/>
  <c r="I33" i="3"/>
  <c r="H58" i="3"/>
  <c r="G29" i="3"/>
  <c r="F55" i="3"/>
  <c r="K22" i="8"/>
  <c r="S144" i="1" s="1"/>
  <c r="I4" i="8"/>
  <c r="M4" i="8" s="1"/>
  <c r="N4" i="8" s="1"/>
  <c r="I15" i="3"/>
  <c r="H52" i="3"/>
  <c r="I22" i="8"/>
  <c r="C9" i="5"/>
  <c r="I34" i="3"/>
  <c r="F34" i="3"/>
  <c r="K65" i="3"/>
  <c r="R11" i="3"/>
  <c r="S19" i="1" s="1"/>
  <c r="Q19" i="1"/>
  <c r="E64" i="3"/>
  <c r="E58" i="3"/>
  <c r="G66" i="3"/>
  <c r="G60" i="3"/>
  <c r="G54" i="3"/>
  <c r="O48" i="3"/>
  <c r="F68" i="3"/>
  <c r="I36" i="3"/>
  <c r="I18" i="3"/>
  <c r="K56" i="3"/>
  <c r="I64" i="3"/>
  <c r="I58" i="3"/>
  <c r="E37" i="3"/>
  <c r="E35" i="3"/>
  <c r="G24" i="3"/>
  <c r="G33" i="3"/>
  <c r="B53" i="3"/>
  <c r="B65" i="3"/>
  <c r="C16" i="3"/>
  <c r="C37" i="3"/>
  <c r="C28" i="3"/>
  <c r="C68" i="3"/>
  <c r="C62" i="3"/>
  <c r="H17" i="3"/>
  <c r="H35" i="3"/>
  <c r="D25" i="3"/>
  <c r="D16" i="3"/>
  <c r="C53" i="3"/>
  <c r="C59" i="3"/>
  <c r="E17" i="3"/>
  <c r="E28" i="3"/>
  <c r="B59" i="3"/>
  <c r="C34" i="3"/>
  <c r="H39" i="3"/>
  <c r="J24" i="3"/>
  <c r="H21" i="3"/>
  <c r="C21" i="3"/>
  <c r="C30" i="3"/>
  <c r="F24" i="3"/>
  <c r="D17" i="3"/>
  <c r="R68" i="3"/>
  <c r="O6" i="3"/>
  <c r="U6" i="3" s="1"/>
  <c r="D38" i="3"/>
  <c r="D20" i="3"/>
  <c r="F54" i="3"/>
  <c r="L54" i="3" s="1"/>
  <c r="F66" i="3"/>
  <c r="D60" i="3"/>
  <c r="E61" i="3"/>
  <c r="E67" i="3"/>
  <c r="J28" i="3"/>
  <c r="I52" i="3"/>
  <c r="J32" i="3"/>
  <c r="E55" i="3"/>
  <c r="E18" i="3"/>
  <c r="E27" i="3"/>
  <c r="O8" i="3"/>
  <c r="U8" i="3" s="1"/>
  <c r="E29" i="3"/>
  <c r="E20" i="3"/>
  <c r="E38" i="3"/>
  <c r="O10" i="3"/>
  <c r="E54" i="3"/>
  <c r="O46" i="3"/>
  <c r="T46" i="3" s="1"/>
  <c r="G62" i="3"/>
  <c r="G68" i="3"/>
  <c r="B12" i="4"/>
  <c r="AB30" i="13"/>
  <c r="F37" i="3"/>
  <c r="D35" i="3"/>
  <c r="B58" i="3"/>
  <c r="B64" i="3"/>
  <c r="G61" i="3"/>
  <c r="G67" i="3"/>
  <c r="G55" i="3"/>
  <c r="B27" i="4"/>
  <c r="B28" i="4" s="1"/>
  <c r="B29" i="4" s="1"/>
  <c r="B30" i="4" s="1"/>
  <c r="I27" i="3"/>
  <c r="J38" i="3"/>
  <c r="H27" i="3"/>
  <c r="H18" i="3"/>
  <c r="H15" i="3"/>
  <c r="D53" i="3"/>
  <c r="B60" i="3"/>
  <c r="I38" i="3"/>
  <c r="D15" i="3"/>
  <c r="F52" i="3"/>
  <c r="D58" i="3"/>
  <c r="F65" i="3"/>
  <c r="C61" i="3"/>
  <c r="I29" i="3"/>
  <c r="H37" i="3"/>
  <c r="D52" i="3"/>
  <c r="F59" i="3"/>
  <c r="Q18" i="8" l="1"/>
  <c r="R18" i="8" s="1"/>
  <c r="N18" i="8"/>
  <c r="S18" i="8"/>
  <c r="Q19" i="8"/>
  <c r="R19" i="8" s="1"/>
  <c r="S19" i="8" s="1"/>
  <c r="N19" i="8"/>
  <c r="Q21" i="8"/>
  <c r="R21" i="8" s="1"/>
  <c r="S21" i="8" s="1"/>
  <c r="N21" i="8"/>
  <c r="S20" i="8"/>
  <c r="T20" i="8"/>
  <c r="U20" i="8" s="1"/>
  <c r="W20" i="8" s="1"/>
  <c r="X20" i="8" s="1"/>
  <c r="H38" i="4"/>
  <c r="H40" i="4" s="1"/>
  <c r="N54" i="3"/>
  <c r="M54" i="3"/>
  <c r="T9" i="3"/>
  <c r="T8" i="3"/>
  <c r="L39" i="3"/>
  <c r="O39" i="3" s="1"/>
  <c r="L29" i="3"/>
  <c r="L24" i="3"/>
  <c r="O29" i="3"/>
  <c r="K27" i="3"/>
  <c r="L27" i="3" s="1"/>
  <c r="R29" i="3"/>
  <c r="Q29" i="3"/>
  <c r="G25" i="7"/>
  <c r="G26" i="7"/>
  <c r="G23" i="7"/>
  <c r="G24" i="7"/>
  <c r="G22" i="7"/>
  <c r="W35" i="3"/>
  <c r="W17" i="3"/>
  <c r="F21" i="3"/>
  <c r="P21" i="3"/>
  <c r="W21" i="3"/>
  <c r="K17" i="3"/>
  <c r="W15" i="3"/>
  <c r="W19" i="3"/>
  <c r="F30" i="3"/>
  <c r="W30" i="3"/>
  <c r="P30" i="3"/>
  <c r="W16" i="3"/>
  <c r="W25" i="3"/>
  <c r="P20" i="3"/>
  <c r="W20" i="3"/>
  <c r="W38" i="3"/>
  <c r="P38" i="3"/>
  <c r="Q38" i="3" s="1"/>
  <c r="R38" i="3"/>
  <c r="R39" i="3"/>
  <c r="Q39" i="3"/>
  <c r="W28" i="3"/>
  <c r="W36" i="3"/>
  <c r="L26" i="3"/>
  <c r="W18" i="3"/>
  <c r="L7" i="7"/>
  <c r="U44" i="3"/>
  <c r="U49" i="3" s="1"/>
  <c r="S41" i="1" s="1"/>
  <c r="S19" i="12" s="1"/>
  <c r="W33" i="3"/>
  <c r="F23" i="3"/>
  <c r="L23" i="3" s="1"/>
  <c r="T6" i="3"/>
  <c r="L55" i="3"/>
  <c r="Q56" i="3"/>
  <c r="F19" i="3"/>
  <c r="L19" i="3" s="1"/>
  <c r="T45" i="3"/>
  <c r="T49" i="3" s="1"/>
  <c r="S40" i="1" s="1"/>
  <c r="K35" i="3"/>
  <c r="K38" i="3"/>
  <c r="K36" i="3"/>
  <c r="H23" i="5"/>
  <c r="B18" i="5" s="1"/>
  <c r="L9" i="7"/>
  <c r="L5" i="7"/>
  <c r="L8" i="7"/>
  <c r="U5" i="3"/>
  <c r="U12" i="3" s="1"/>
  <c r="S22" i="1" s="1"/>
  <c r="H6" i="6" s="1"/>
  <c r="Q62" i="3"/>
  <c r="L60" i="3"/>
  <c r="L56" i="3"/>
  <c r="Q10" i="8"/>
  <c r="R10" i="8" s="1"/>
  <c r="S10" i="8" s="1"/>
  <c r="T10" i="8" s="1"/>
  <c r="L67" i="3"/>
  <c r="E34" i="4"/>
  <c r="E37" i="4" s="1"/>
  <c r="L66" i="3"/>
  <c r="G14" i="4"/>
  <c r="S83" i="1" s="1"/>
  <c r="Q6" i="8"/>
  <c r="R6" i="8" s="1"/>
  <c r="S6" i="8" s="1"/>
  <c r="T6" i="8" s="1"/>
  <c r="U6" i="8" s="1"/>
  <c r="W6" i="8" s="1"/>
  <c r="X6" i="8" s="1"/>
  <c r="K6" i="8" s="1"/>
  <c r="S133" i="1" s="1"/>
  <c r="Q8" i="8"/>
  <c r="R8" i="8" s="1"/>
  <c r="S8" i="8" s="1"/>
  <c r="F28" i="3"/>
  <c r="J22" i="8"/>
  <c r="Q144" i="1" s="1"/>
  <c r="Q9" i="8"/>
  <c r="R9" i="8" s="1"/>
  <c r="S9" i="8" s="1"/>
  <c r="F33" i="3"/>
  <c r="L33" i="3" s="1"/>
  <c r="L64" i="3"/>
  <c r="L32" i="4"/>
  <c r="Q5" i="8"/>
  <c r="R5" i="8" s="1"/>
  <c r="S5" i="8" s="1"/>
  <c r="T5" i="8" s="1"/>
  <c r="U5" i="8" s="1"/>
  <c r="W5" i="8" s="1"/>
  <c r="F16" i="3"/>
  <c r="A30" i="13"/>
  <c r="F32" i="3"/>
  <c r="L32" i="3" s="1"/>
  <c r="Q3" i="8"/>
  <c r="R3" i="8" s="1"/>
  <c r="S3" i="8" s="1"/>
  <c r="X9" i="8"/>
  <c r="K9" i="8" s="1"/>
  <c r="S136" i="1" s="1"/>
  <c r="L65" i="3"/>
  <c r="L52" i="3"/>
  <c r="L58" i="3"/>
  <c r="F14" i="3"/>
  <c r="L14" i="3" s="1"/>
  <c r="J10" i="8"/>
  <c r="Q137" i="1" s="1"/>
  <c r="Q7" i="8"/>
  <c r="R7" i="8" s="1"/>
  <c r="S7" i="8" s="1"/>
  <c r="Q4" i="8"/>
  <c r="R4" i="8" s="1"/>
  <c r="S4" i="8" s="1"/>
  <c r="F36" i="3"/>
  <c r="F18" i="3"/>
  <c r="L18" i="3" s="1"/>
  <c r="K68" i="3"/>
  <c r="L68" i="3" s="1"/>
  <c r="F17" i="3"/>
  <c r="K28" i="3"/>
  <c r="F38" i="3"/>
  <c r="L38" i="3" s="1"/>
  <c r="K59" i="3"/>
  <c r="L59" i="3" s="1"/>
  <c r="K37" i="3"/>
  <c r="L37" i="3" s="1"/>
  <c r="F15" i="3"/>
  <c r="L15" i="3" s="1"/>
  <c r="K34" i="3"/>
  <c r="L34" i="3" s="1"/>
  <c r="K53" i="3"/>
  <c r="L53" i="3" s="1"/>
  <c r="K16" i="3"/>
  <c r="F35" i="3"/>
  <c r="L35" i="3" s="1"/>
  <c r="B34" i="4"/>
  <c r="B35" i="4"/>
  <c r="K61" i="3"/>
  <c r="L61" i="3" s="1"/>
  <c r="K30" i="3"/>
  <c r="F20" i="3"/>
  <c r="L20" i="3" s="1"/>
  <c r="K21" i="3"/>
  <c r="F25" i="3"/>
  <c r="L25" i="3" s="1"/>
  <c r="K62" i="3"/>
  <c r="L62" i="3" s="1"/>
  <c r="T21" i="8" l="1"/>
  <c r="U21" i="8" s="1"/>
  <c r="W21" i="8" s="1"/>
  <c r="T19" i="8"/>
  <c r="U19" i="8" s="1"/>
  <c r="W19" i="8" s="1"/>
  <c r="X19" i="8" s="1"/>
  <c r="K19" i="8" s="1"/>
  <c r="S141" i="1" s="1"/>
  <c r="T18" i="8"/>
  <c r="U18" i="8" s="1"/>
  <c r="W18" i="8" s="1"/>
  <c r="AB36" i="13"/>
  <c r="C17" i="7"/>
  <c r="M58" i="3"/>
  <c r="N58" i="3"/>
  <c r="N52" i="3"/>
  <c r="M52" i="3"/>
  <c r="N64" i="3"/>
  <c r="M64" i="3"/>
  <c r="M67" i="3"/>
  <c r="N67" i="3"/>
  <c r="N61" i="3"/>
  <c r="O61" i="3" s="1"/>
  <c r="P61" i="3" s="1"/>
  <c r="M61" i="3"/>
  <c r="N55" i="3"/>
  <c r="M55" i="3"/>
  <c r="N66" i="3"/>
  <c r="M66" i="3"/>
  <c r="N60" i="3"/>
  <c r="O60" i="3" s="1"/>
  <c r="P60" i="3" s="1"/>
  <c r="M60" i="3"/>
  <c r="N65" i="3"/>
  <c r="M65" i="3"/>
  <c r="O65" i="3" s="1"/>
  <c r="P65" i="3" s="1"/>
  <c r="N53" i="3"/>
  <c r="M53" i="3"/>
  <c r="M59" i="3"/>
  <c r="N59" i="3"/>
  <c r="O59" i="3" s="1"/>
  <c r="P59" i="3" s="1"/>
  <c r="T12" i="3"/>
  <c r="S21" i="1" s="1"/>
  <c r="G8" i="4" s="1"/>
  <c r="G9" i="4" s="1"/>
  <c r="N27" i="3"/>
  <c r="M27" i="3"/>
  <c r="N18" i="3"/>
  <c r="O18" i="3" s="1"/>
  <c r="P18" i="3" s="1"/>
  <c r="M18" i="3"/>
  <c r="N37" i="3"/>
  <c r="M37" i="3"/>
  <c r="M19" i="3"/>
  <c r="N19" i="3"/>
  <c r="N34" i="3"/>
  <c r="M34" i="3"/>
  <c r="N25" i="3"/>
  <c r="M25" i="3"/>
  <c r="N26" i="3"/>
  <c r="M26" i="3"/>
  <c r="O26" i="3" s="1"/>
  <c r="P26" i="3" s="1"/>
  <c r="N35" i="3"/>
  <c r="M35" i="3"/>
  <c r="O35" i="3" s="1"/>
  <c r="P35" i="3" s="1"/>
  <c r="N33" i="3"/>
  <c r="M33" i="3"/>
  <c r="M15" i="3"/>
  <c r="N15" i="3"/>
  <c r="O15" i="3" s="1"/>
  <c r="P15" i="3" s="1"/>
  <c r="Q15" i="3" s="1"/>
  <c r="N24" i="3"/>
  <c r="M24" i="3"/>
  <c r="N14" i="3"/>
  <c r="M14" i="3"/>
  <c r="N32" i="3"/>
  <c r="M32" i="3"/>
  <c r="N23" i="3"/>
  <c r="M23" i="3"/>
  <c r="L28" i="3"/>
  <c r="O37" i="3"/>
  <c r="P37" i="3" s="1"/>
  <c r="O38" i="3"/>
  <c r="L17" i="3"/>
  <c r="L36" i="3"/>
  <c r="O19" i="3"/>
  <c r="P19" i="3" s="1"/>
  <c r="R19" i="3" s="1"/>
  <c r="O34" i="3"/>
  <c r="P34" i="3" s="1"/>
  <c r="T3" i="8"/>
  <c r="U3" i="8" s="1"/>
  <c r="W3" i="8" s="1"/>
  <c r="L21" i="3"/>
  <c r="O20" i="3"/>
  <c r="L30" i="3"/>
  <c r="L16" i="3"/>
  <c r="O62" i="3"/>
  <c r="R20" i="3"/>
  <c r="Q20" i="3"/>
  <c r="O25" i="3"/>
  <c r="P25" i="3" s="1"/>
  <c r="R25" i="3" s="1"/>
  <c r="O27" i="3"/>
  <c r="P27" i="3" s="1"/>
  <c r="R30" i="3"/>
  <c r="Q30" i="3"/>
  <c r="R21" i="3"/>
  <c r="Q21" i="3"/>
  <c r="O52" i="3"/>
  <c r="O54" i="3"/>
  <c r="P54" i="3" s="1"/>
  <c r="R54" i="3" s="1"/>
  <c r="Q46" i="3" s="1"/>
  <c r="O56" i="3"/>
  <c r="U62" i="3" s="1"/>
  <c r="O68" i="3"/>
  <c r="J6" i="8"/>
  <c r="Q133" i="1" s="1"/>
  <c r="S31" i="12"/>
  <c r="S18" i="12"/>
  <c r="L10" i="7"/>
  <c r="N12" i="7" s="1"/>
  <c r="E36" i="4"/>
  <c r="J19" i="8"/>
  <c r="Q141" i="1" s="1"/>
  <c r="C28" i="7"/>
  <c r="H13" i="7" s="1"/>
  <c r="J13" i="7" s="1"/>
  <c r="K13" i="7" s="1"/>
  <c r="T9" i="8"/>
  <c r="X5" i="8"/>
  <c r="K5" i="8" s="1"/>
  <c r="S132" i="1" s="1"/>
  <c r="J5" i="8"/>
  <c r="Q132" i="1" s="1"/>
  <c r="B24" i="13"/>
  <c r="B25" i="13" s="1"/>
  <c r="B31" i="13" s="1"/>
  <c r="C29" i="7"/>
  <c r="H14" i="7" s="1"/>
  <c r="J14" i="7" s="1"/>
  <c r="K14" i="7" s="1"/>
  <c r="S15" i="12"/>
  <c r="D20" i="5"/>
  <c r="T8" i="8"/>
  <c r="U8" i="8" s="1"/>
  <c r="W8" i="8" s="1"/>
  <c r="T4" i="8"/>
  <c r="U4" i="8" s="1"/>
  <c r="W4" i="8" s="1"/>
  <c r="T7" i="8"/>
  <c r="U7" i="8" s="1"/>
  <c r="W7" i="8" s="1"/>
  <c r="G27" i="7"/>
  <c r="C22" i="7" s="1"/>
  <c r="S152" i="1" s="1"/>
  <c r="B36" i="4"/>
  <c r="B37" i="4"/>
  <c r="S56" i="1" s="1"/>
  <c r="O67" i="3" l="1"/>
  <c r="P67" i="3" s="1"/>
  <c r="Q67" i="3" s="1"/>
  <c r="X18" i="8"/>
  <c r="K18" i="8" s="1"/>
  <c r="S140" i="1" s="1"/>
  <c r="J18" i="8"/>
  <c r="Q140" i="1" s="1"/>
  <c r="X21" i="8"/>
  <c r="K21" i="8" s="1"/>
  <c r="S143" i="1" s="1"/>
  <c r="J21" i="8"/>
  <c r="Q143" i="1" s="1"/>
  <c r="O55" i="3"/>
  <c r="V55" i="3"/>
  <c r="P55" i="3"/>
  <c r="R67" i="3"/>
  <c r="R61" i="3"/>
  <c r="Q61" i="3"/>
  <c r="H24" i="4"/>
  <c r="S14" i="12"/>
  <c r="B5" i="4"/>
  <c r="B7" i="4" s="1"/>
  <c r="H5" i="6"/>
  <c r="H11" i="6" s="1"/>
  <c r="B3" i="6" s="1"/>
  <c r="P34" i="7"/>
  <c r="B19" i="5"/>
  <c r="B20" i="5" s="1"/>
  <c r="B21" i="5" s="1"/>
  <c r="R37" i="3"/>
  <c r="Q37" i="3"/>
  <c r="Q19" i="3"/>
  <c r="R18" i="3"/>
  <c r="Q18" i="3"/>
  <c r="N36" i="3"/>
  <c r="O36" i="3" s="1"/>
  <c r="P36" i="3" s="1"/>
  <c r="M36" i="3"/>
  <c r="R27" i="3"/>
  <c r="Q27" i="3"/>
  <c r="N28" i="3"/>
  <c r="M28" i="3"/>
  <c r="O28" i="3" s="1"/>
  <c r="P28" i="3" s="1"/>
  <c r="O24" i="3"/>
  <c r="P24" i="3" s="1"/>
  <c r="Q24" i="3" s="1"/>
  <c r="Q35" i="3"/>
  <c r="R35" i="3"/>
  <c r="R26" i="3"/>
  <c r="Q26" i="3"/>
  <c r="N16" i="3"/>
  <c r="O16" i="3" s="1"/>
  <c r="P16" i="3" s="1"/>
  <c r="M16" i="3"/>
  <c r="N17" i="3"/>
  <c r="M17" i="3"/>
  <c r="Q25" i="3"/>
  <c r="O17" i="3"/>
  <c r="P17" i="3" s="1"/>
  <c r="O21" i="3"/>
  <c r="Q34" i="3"/>
  <c r="R34" i="3"/>
  <c r="R15" i="3"/>
  <c r="O33" i="3"/>
  <c r="P33" i="3" s="1"/>
  <c r="R33" i="3" s="1"/>
  <c r="J3" i="8"/>
  <c r="Q130" i="1" s="1"/>
  <c r="X3" i="8"/>
  <c r="K3" i="8" s="1"/>
  <c r="S130" i="1" s="1"/>
  <c r="O30" i="3"/>
  <c r="O32" i="3"/>
  <c r="P32" i="3" s="1"/>
  <c r="R32" i="3" s="1"/>
  <c r="U60" i="3"/>
  <c r="O58" i="3"/>
  <c r="P58" i="3" s="1"/>
  <c r="R58" i="3" s="1"/>
  <c r="Q54" i="3"/>
  <c r="V60" i="3"/>
  <c r="U55" i="3"/>
  <c r="U61" i="3"/>
  <c r="V61" i="3"/>
  <c r="U54" i="3"/>
  <c r="V54" i="3"/>
  <c r="O66" i="3"/>
  <c r="P66" i="3" s="1"/>
  <c r="R66" i="3" s="1"/>
  <c r="O53" i="3"/>
  <c r="P53" i="3" s="1"/>
  <c r="R53" i="3" s="1"/>
  <c r="Q35" i="1"/>
  <c r="R46" i="3"/>
  <c r="S35" i="1" s="1"/>
  <c r="Q60" i="3"/>
  <c r="R60" i="3"/>
  <c r="J20" i="8"/>
  <c r="Q142" i="1" s="1"/>
  <c r="K20" i="8"/>
  <c r="S142" i="1" s="1"/>
  <c r="X8" i="8"/>
  <c r="K8" i="8" s="1"/>
  <c r="S135" i="1" s="1"/>
  <c r="J8" i="8"/>
  <c r="Q135" i="1" s="1"/>
  <c r="Q9" i="3"/>
  <c r="J7" i="8"/>
  <c r="Q134" i="1" s="1"/>
  <c r="X7" i="8"/>
  <c r="K7" i="8" s="1"/>
  <c r="S134" i="1" s="1"/>
  <c r="Q7" i="3"/>
  <c r="O64" i="3"/>
  <c r="P64" i="3" s="1"/>
  <c r="R64" i="3" s="1"/>
  <c r="V56" i="3"/>
  <c r="V62" i="3"/>
  <c r="U56" i="3"/>
  <c r="G10" i="4"/>
  <c r="S106" i="1"/>
  <c r="R59" i="3"/>
  <c r="Q59" i="3"/>
  <c r="R65" i="3"/>
  <c r="Q65" i="3"/>
  <c r="K15" i="7"/>
  <c r="J4" i="8"/>
  <c r="Q131" i="1" s="1"/>
  <c r="X4" i="8"/>
  <c r="K4" i="8" s="1"/>
  <c r="S131" i="1" s="1"/>
  <c r="O14" i="3"/>
  <c r="P14" i="3" s="1"/>
  <c r="R14" i="3" s="1"/>
  <c r="O23" i="3"/>
  <c r="P23" i="3" s="1"/>
  <c r="Q23" i="3" s="1"/>
  <c r="P52" i="3"/>
  <c r="U58" i="3"/>
  <c r="V52" i="3"/>
  <c r="V58" i="3"/>
  <c r="U52" i="3"/>
  <c r="H25" i="4"/>
  <c r="AB9" i="13"/>
  <c r="C43" i="6" l="1"/>
  <c r="C42" i="6"/>
  <c r="C41" i="6"/>
  <c r="C40" i="6"/>
  <c r="C38" i="6"/>
  <c r="C37" i="6"/>
  <c r="C36" i="6"/>
  <c r="C35" i="6"/>
  <c r="B43" i="6"/>
  <c r="B42" i="6"/>
  <c r="B41" i="6"/>
  <c r="B40" i="6"/>
  <c r="B38" i="6"/>
  <c r="B37" i="6"/>
  <c r="B36" i="6"/>
  <c r="B35" i="6"/>
  <c r="R55" i="3"/>
  <c r="Q47" i="3" s="1"/>
  <c r="Q55" i="3"/>
  <c r="R24" i="3"/>
  <c r="Q28" i="3"/>
  <c r="R28" i="3"/>
  <c r="Q36" i="3"/>
  <c r="R36" i="3"/>
  <c r="Q8" i="3" s="1"/>
  <c r="Q17" i="3"/>
  <c r="R17" i="3"/>
  <c r="Q33" i="3"/>
  <c r="R16" i="3"/>
  <c r="Q16" i="3"/>
  <c r="Q32" i="3"/>
  <c r="Q53" i="3"/>
  <c r="Q45" i="3"/>
  <c r="R45" i="3" s="1"/>
  <c r="S34" i="1" s="1"/>
  <c r="Q58" i="3"/>
  <c r="V59" i="3"/>
  <c r="V53" i="3"/>
  <c r="U59" i="3"/>
  <c r="U53" i="3"/>
  <c r="Q66" i="3"/>
  <c r="Q6" i="3"/>
  <c r="Q14" i="1" s="1"/>
  <c r="Q12" i="12" s="1"/>
  <c r="Q17" i="1"/>
  <c r="R9" i="3"/>
  <c r="S17" i="1" s="1"/>
  <c r="S145" i="1"/>
  <c r="C33" i="7" s="1"/>
  <c r="Q15" i="1"/>
  <c r="Q13" i="12" s="1"/>
  <c r="R7" i="3"/>
  <c r="S15" i="1" s="1"/>
  <c r="S13" i="12" s="1"/>
  <c r="Q64" i="3"/>
  <c r="R23" i="3"/>
  <c r="Q4" i="3" s="1"/>
  <c r="R4" i="3" s="1"/>
  <c r="Q5" i="3"/>
  <c r="J73" i="1"/>
  <c r="S26" i="13" s="1"/>
  <c r="AB26" i="13" s="1"/>
  <c r="R52" i="3"/>
  <c r="Q44" i="3" s="1"/>
  <c r="Q52" i="3"/>
  <c r="Q14" i="3"/>
  <c r="D37" i="6" l="1"/>
  <c r="D38" i="6"/>
  <c r="D35" i="6"/>
  <c r="D40" i="6"/>
  <c r="D41" i="6"/>
  <c r="D42" i="6"/>
  <c r="D36" i="6"/>
  <c r="D43" i="6"/>
  <c r="Q36" i="1"/>
  <c r="R47" i="3"/>
  <c r="S36" i="1" s="1"/>
  <c r="R8" i="3"/>
  <c r="S16" i="1" s="1"/>
  <c r="Q16" i="1"/>
  <c r="Q34" i="1"/>
  <c r="R6" i="3"/>
  <c r="S14" i="1" s="1"/>
  <c r="S12" i="12" s="1"/>
  <c r="E40" i="6"/>
  <c r="E35" i="6"/>
  <c r="R5" i="3"/>
  <c r="S13" i="1" s="1"/>
  <c r="S11" i="12" s="1"/>
  <c r="Q13" i="1"/>
  <c r="Q11" i="12" s="1"/>
  <c r="S73" i="1"/>
  <c r="T33" i="4" s="1"/>
  <c r="Q33" i="1"/>
  <c r="R44" i="3"/>
  <c r="Q12" i="1"/>
  <c r="Q10" i="12" s="1"/>
  <c r="S12" i="1"/>
  <c r="S10" i="12" s="1"/>
  <c r="G35" i="6" l="1"/>
  <c r="H35" i="6" s="1"/>
  <c r="B4" i="6" s="1"/>
  <c r="R12" i="3"/>
  <c r="S33" i="1"/>
  <c r="R49" i="3"/>
  <c r="S114" i="1" l="1"/>
  <c r="S40" i="12" s="1"/>
  <c r="H26" i="4"/>
  <c r="H28" i="4" s="1"/>
  <c r="H29" i="4" l="1"/>
  <c r="H30" i="4" s="1"/>
  <c r="H31" i="4" s="1"/>
  <c r="H32" i="4" s="1"/>
  <c r="H33" i="4" s="1"/>
  <c r="H34" i="4" s="1"/>
  <c r="S62" i="1" s="1"/>
  <c r="AB15" i="13" l="1"/>
  <c r="B8" i="4"/>
  <c r="B9" i="4" s="1"/>
  <c r="B11" i="4" s="1"/>
  <c r="B14" i="4" s="1"/>
  <c r="B15" i="4" s="1"/>
  <c r="B16" i="4" s="1"/>
  <c r="S64" i="1"/>
  <c r="B13" i="4" l="1"/>
  <c r="B17" i="4" s="1"/>
  <c r="B18" i="4" s="1"/>
  <c r="B20" i="4" s="1"/>
  <c r="B21" i="4" s="1"/>
  <c r="S48" i="1" s="1"/>
  <c r="S50" i="1" s="1"/>
  <c r="AB3" i="13" l="1"/>
  <c r="S20" i="12"/>
  <c r="K21" i="7"/>
  <c r="K27" i="7" s="1"/>
  <c r="S21" i="12" l="1"/>
  <c r="S65" i="1"/>
  <c r="T32" i="4" s="1"/>
  <c r="P6" i="4"/>
  <c r="K28" i="4" s="1"/>
  <c r="K29" i="4" s="1"/>
  <c r="K30" i="4" s="1"/>
  <c r="K31" i="4" s="1"/>
  <c r="F6" i="13"/>
  <c r="T35" i="4" l="1"/>
  <c r="T38" i="4"/>
  <c r="S76" i="1" s="1"/>
  <c r="AB29" i="13"/>
  <c r="G16" i="4"/>
  <c r="T24" i="4" s="1"/>
  <c r="I78" i="1"/>
  <c r="B32" i="5"/>
  <c r="G13" i="4"/>
  <c r="S88" i="1" s="1"/>
  <c r="I72" i="1"/>
  <c r="B5" i="6"/>
  <c r="D9" i="7"/>
  <c r="S146" i="1"/>
  <c r="P23" i="7" s="1"/>
  <c r="P24" i="7" s="1"/>
  <c r="P26" i="7" s="1"/>
  <c r="P27" i="7" s="1"/>
  <c r="P29" i="7" s="1"/>
  <c r="P30" i="7" s="1"/>
  <c r="P31" i="7" s="1"/>
  <c r="Q31" i="7" s="1"/>
  <c r="B22" i="5"/>
  <c r="B23" i="5" s="1"/>
  <c r="B24" i="5" s="1"/>
  <c r="C29" i="6" l="1"/>
  <c r="B24" i="6"/>
  <c r="B27" i="6"/>
  <c r="B23" i="6"/>
  <c r="C24" i="6"/>
  <c r="C22" i="6"/>
  <c r="B28" i="6"/>
  <c r="B22" i="6"/>
  <c r="C28" i="6"/>
  <c r="C27" i="6"/>
  <c r="C23" i="6"/>
  <c r="B30" i="6"/>
  <c r="B29" i="6"/>
  <c r="B25" i="6"/>
  <c r="C30" i="6"/>
  <c r="C25" i="6"/>
  <c r="T14" i="4"/>
  <c r="T16" i="4" s="1"/>
  <c r="T17" i="4" s="1"/>
  <c r="T18" i="4" s="1"/>
  <c r="T3" i="4"/>
  <c r="T5" i="4" s="1"/>
  <c r="S78" i="1"/>
  <c r="AB31" i="13" s="1"/>
  <c r="T26" i="4"/>
  <c r="T27" i="4" s="1"/>
  <c r="T28" i="4" s="1"/>
  <c r="U29" i="4" s="1"/>
  <c r="D30" i="6" l="1"/>
  <c r="D24" i="6"/>
  <c r="D23" i="6"/>
  <c r="D27" i="6"/>
  <c r="D28" i="6"/>
  <c r="D25" i="6"/>
  <c r="D22" i="6"/>
  <c r="D29" i="6"/>
  <c r="U19" i="4"/>
  <c r="T29" i="4"/>
  <c r="S87" i="1" s="1"/>
  <c r="T6" i="4"/>
  <c r="T7" i="4" s="1"/>
  <c r="U8" i="4" s="1"/>
  <c r="T19" i="4" l="1"/>
  <c r="S86" i="1" s="1"/>
  <c r="T8" i="4"/>
  <c r="S85" i="1" s="1"/>
  <c r="S72" i="1"/>
  <c r="S81" i="1" s="1"/>
  <c r="H36" i="4" s="1"/>
  <c r="H41" i="4" l="1"/>
  <c r="H39" i="4"/>
  <c r="C18" i="7" a="1"/>
  <c r="C18" i="7" s="1"/>
  <c r="S84" i="1"/>
  <c r="S29" i="12"/>
  <c r="K22" i="7"/>
  <c r="K24" i="7" s="1"/>
  <c r="K26" i="7" s="1"/>
  <c r="K29" i="7" s="1"/>
  <c r="D13" i="7"/>
  <c r="D14" i="7" s="1"/>
  <c r="N11" i="7"/>
  <c r="N13" i="7" s="1"/>
  <c r="N14" i="7" s="1"/>
  <c r="K16" i="7" s="1"/>
  <c r="K17" i="7" s="1"/>
  <c r="B6" i="6"/>
  <c r="B9" i="6"/>
  <c r="B10" i="6"/>
  <c r="S150" i="1" l="1"/>
  <c r="B11" i="6"/>
  <c r="B15" i="6" s="1"/>
  <c r="C23" i="7"/>
  <c r="C24" i="7" s="1"/>
  <c r="K30" i="7"/>
  <c r="B14" i="6"/>
  <c r="F14" i="6"/>
  <c r="C19" i="7"/>
  <c r="C20" i="7" s="1"/>
  <c r="S32" i="12"/>
  <c r="P7" i="4"/>
  <c r="P8" i="4" s="1"/>
  <c r="C25" i="7" l="1"/>
  <c r="S153" i="1" s="1"/>
  <c r="E22" i="6"/>
  <c r="E27" i="6"/>
  <c r="F16" i="6"/>
  <c r="F15" i="6"/>
  <c r="K31" i="7"/>
  <c r="L33" i="4"/>
  <c r="L34" i="4"/>
  <c r="L8" i="4"/>
  <c r="K8" i="4"/>
  <c r="K9" i="4" s="1"/>
  <c r="S151" i="1"/>
  <c r="G22" i="6" l="1"/>
  <c r="H22" i="6" s="1"/>
  <c r="B13" i="6" s="1"/>
  <c r="B16" i="6" s="1"/>
  <c r="B17" i="6" s="1"/>
  <c r="S116" i="1" s="1"/>
  <c r="O34" i="7" s="1"/>
  <c r="L35" i="4"/>
  <c r="D26" i="7"/>
  <c r="S154" i="1" s="1"/>
  <c r="K10" i="4"/>
  <c r="L9" i="4"/>
  <c r="O35" i="7" l="1"/>
  <c r="O37" i="7" s="1"/>
  <c r="D31" i="7" s="1"/>
  <c r="S42" i="12"/>
  <c r="L10" i="4"/>
  <c r="K11" i="4"/>
  <c r="S155" i="1" l="1"/>
  <c r="L11" i="4"/>
  <c r="L12" i="4" s="1"/>
  <c r="K12" i="4"/>
  <c r="D32" i="7" l="1"/>
  <c r="S156" i="1" s="1"/>
  <c r="S47" i="12" s="1"/>
  <c r="D34" i="7" l="1"/>
  <c r="S157" i="1" s="1"/>
  <c r="S48" i="12" s="1"/>
  <c r="D35" i="7"/>
  <c r="S158" i="1" s="1"/>
  <c r="S49" i="12" s="1"/>
  <c r="S2" i="12" l="1"/>
  <c r="S2" i="1"/>
  <c r="AB19" i="13" l="1"/>
  <c r="AB20" i="13" s="1"/>
  <c r="F8" i="13" l="1"/>
  <c r="R25" i="13"/>
  <c r="AB25" i="13" s="1"/>
  <c r="AB34" i="13" s="1"/>
  <c r="AB37" i="13" s="1"/>
  <c r="F7" i="13"/>
  <c r="F9" i="13" l="1"/>
  <c r="AB38" i="13"/>
  <c r="AB39" i="13" s="1"/>
  <c r="F10" i="13" s="1"/>
  <c r="F11" i="13" s="1"/>
  <c r="S66" i="1" s="1"/>
  <c r="S68" i="1" s="1"/>
  <c r="S89" i="1" s="1"/>
  <c r="S90" i="1" s="1"/>
  <c r="B7" i="13"/>
  <c r="A7" i="13"/>
  <c r="A8" i="13" s="1"/>
  <c r="S23" i="12" l="1"/>
  <c r="S24" i="12" s="1"/>
  <c r="S33" i="12" s="1"/>
  <c r="B34" i="5"/>
  <c r="B35" i="5" s="1"/>
  <c r="B36" i="5" s="1"/>
  <c r="B37" i="5" s="1"/>
  <c r="B8" i="13"/>
  <c r="A9" i="13"/>
  <c r="B2" i="5" l="1"/>
  <c r="B12" i="5"/>
  <c r="B15" i="5" s="1"/>
  <c r="B9" i="13"/>
  <c r="A10" i="13"/>
  <c r="F6" i="5" l="1"/>
  <c r="C6" i="5" s="1"/>
  <c r="F5" i="5"/>
  <c r="C5" i="5" s="1"/>
  <c r="F4" i="5"/>
  <c r="C4" i="5" s="1"/>
  <c r="F3" i="5"/>
  <c r="B10" i="13"/>
  <c r="B11" i="13" s="1"/>
  <c r="A11" i="13"/>
  <c r="C8" i="5" l="1"/>
  <c r="C10" i="5" s="1"/>
  <c r="C11" i="5" s="1"/>
  <c r="D10" i="5" s="1"/>
  <c r="C3" i="5"/>
  <c r="S91" i="1" l="1"/>
  <c r="S94" i="1" s="1"/>
  <c r="B46" i="5"/>
  <c r="B47" i="5" s="1"/>
  <c r="B49" i="5" s="1"/>
  <c r="S117" i="1" s="1"/>
  <c r="S125" i="1" s="1"/>
  <c r="S43" i="12" l="1"/>
  <c r="B25" i="5"/>
  <c r="B26" i="5" s="1"/>
  <c r="B27" i="5" s="1"/>
  <c r="S97" i="1" s="1"/>
  <c r="S34" i="12"/>
  <c r="B38" i="5"/>
  <c r="B39" i="5" l="1"/>
  <c r="B40" i="5" s="1"/>
  <c r="B41" i="5" s="1"/>
  <c r="B42" i="5" s="1"/>
  <c r="S100" i="1" s="1"/>
  <c r="S103" i="1" s="1"/>
  <c r="S36" i="12" l="1"/>
  <c r="S104" i="1"/>
  <c r="S37" i="12" l="1"/>
  <c r="S112" i="1"/>
  <c r="S38" i="12" l="1"/>
  <c r="S127" i="1"/>
  <c r="S45" i="12" s="1"/>
  <c r="S126" i="1"/>
  <c r="I2" i="1" l="1"/>
  <c r="S44" i="12"/>
  <c r="I2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tc={4786CED1-4725-476D-B88D-801660ABF241}</author>
    <author>tc={AA5A6415-C66E-457E-A7D8-48CB55E4BCD1}</author>
  </authors>
  <commentList>
    <comment ref="B7" authorId="0" shapeId="0" xr:uid="{4786CED1-4725-476D-B88D-801660ABF241}">
      <text>
        <t>[Threaded comment]
Your version of Excel allows you to read this threaded comment; however, any edits to it will get removed if the file is opened in a newer version of Excel. Learn more: https://go.microsoft.com/fwlink/?linkid=870924
Comment:
    guess</t>
      </text>
    </comment>
    <comment ref="B8" authorId="1" shapeId="0" xr:uid="{AA5A6415-C66E-457E-A7D8-48CB55E4BCD1}">
      <text>
        <t>[Threaded comment]
Your version of Excel allows you to read this threaded comment; however, any edits to it will get removed if the file is opened in a newer version of Excel. Learn more: https://go.microsoft.com/fwlink/?linkid=870924
Comment:
    Guess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<sst xmlns="http://schemas.openxmlformats.org/spreadsheetml/2006/main" count="1140" uniqueCount="586">
  <si>
    <t>First Name</t>
  </si>
  <si>
    <t>Spouse Name</t>
  </si>
  <si>
    <t>Last Name</t>
  </si>
  <si>
    <t>Names</t>
  </si>
  <si>
    <t>Street Address</t>
  </si>
  <si>
    <t>City, State, Zip</t>
  </si>
  <si>
    <t>Single=1, Married Joint=2, Separate=3, Head Household=4, Widow(er)=5</t>
  </si>
  <si>
    <t>T/S</t>
  </si>
  <si>
    <t>EMPLOYER</t>
  </si>
  <si>
    <t>PAY PER YR</t>
  </si>
  <si>
    <t>PAY PER APPL</t>
  </si>
  <si>
    <t>GROSS TAXABLE PERIOD</t>
  </si>
  <si>
    <t>EXTRA</t>
  </si>
  <si>
    <t>LIST</t>
  </si>
  <si>
    <t>FEDERAL WITHHOLD PERIOD</t>
  </si>
  <si>
    <t>FEDERAL WITHHOLD YEAR</t>
  </si>
  <si>
    <t>PENSION</t>
  </si>
  <si>
    <t>15,16</t>
  </si>
  <si>
    <t>Dividends</t>
  </si>
  <si>
    <t>Rate:</t>
  </si>
  <si>
    <t>Social Security Benefits Gross</t>
  </si>
  <si>
    <t>Blind / Over 65 Enter #</t>
  </si>
  <si>
    <t>37,38</t>
  </si>
  <si>
    <t>Amount Paid</t>
  </si>
  <si>
    <t xml:space="preserve"> </t>
  </si>
  <si>
    <t xml:space="preserve">Dep Care Credit:  </t>
  </si>
  <si>
    <t>PAGE 2</t>
  </si>
  <si>
    <t>INCOME</t>
  </si>
  <si>
    <t>ADJUSTMENTS</t>
  </si>
  <si>
    <t>TAX AND CREDITS</t>
  </si>
  <si>
    <t>OTHER TAXES</t>
  </si>
  <si>
    <t>PAYMENTS</t>
  </si>
  <si>
    <t>Earned Income Credit: Qualifying Children</t>
  </si>
  <si>
    <t>Farm Income Taxpayer ……………………………………………………………………………………………..</t>
  </si>
  <si>
    <t>Farm Income Spouse ………………………………………………………………………………………………..</t>
  </si>
  <si>
    <t>SCHEDULE A</t>
  </si>
  <si>
    <t>T</t>
  </si>
  <si>
    <t>GROSS YEAR</t>
  </si>
  <si>
    <t>EXEMPTIONS</t>
  </si>
  <si>
    <t>FEDERAL WITHHOLD YEAR+EXTRA</t>
  </si>
  <si>
    <t>S</t>
  </si>
  <si>
    <t>M</t>
  </si>
  <si>
    <t>spouse gross</t>
  </si>
  <si>
    <t>taxpayer gross</t>
  </si>
  <si>
    <t>XXXXXXXXXXX</t>
  </si>
  <si>
    <t>PENSIONS</t>
  </si>
  <si>
    <t>WAGES</t>
  </si>
  <si>
    <t>PD</t>
  </si>
  <si>
    <t>PD APPL</t>
  </si>
  <si>
    <t>Business Income Spouse ……………………………………………………………………………………………..</t>
  </si>
  <si>
    <t>SS BENEFITS</t>
  </si>
  <si>
    <t>Tax Exempt</t>
  </si>
  <si>
    <t>STATUS</t>
  </si>
  <si>
    <t>SEP</t>
  </si>
  <si>
    <t>SS</t>
  </si>
  <si>
    <t>1/2</t>
  </si>
  <si>
    <t>OTHER</t>
  </si>
  <si>
    <t>TE</t>
  </si>
  <si>
    <t>TOT</t>
  </si>
  <si>
    <t>ADJ</t>
  </si>
  <si>
    <t>NET</t>
  </si>
  <si>
    <t>7-8</t>
  </si>
  <si>
    <t>9-10</t>
  </si>
  <si>
    <t>9or10</t>
  </si>
  <si>
    <t>2or13</t>
  </si>
  <si>
    <t>.85*11</t>
  </si>
  <si>
    <t>14+15</t>
  </si>
  <si>
    <t>1*.85</t>
  </si>
  <si>
    <t>16or17</t>
  </si>
  <si>
    <t>se taxpayer</t>
  </si>
  <si>
    <t>1a</t>
  </si>
  <si>
    <t>1b</t>
  </si>
  <si>
    <t>Other SS Wages</t>
  </si>
  <si>
    <t>se spouse</t>
  </si>
  <si>
    <t>State Taxes ………………………………………………………………………………………………………………….</t>
  </si>
  <si>
    <t>standard ded</t>
  </si>
  <si>
    <t>2a</t>
  </si>
  <si>
    <t>standard</t>
  </si>
  <si>
    <t>claim zero</t>
  </si>
  <si>
    <t>earned income</t>
  </si>
  <si>
    <t>smaller 1or3</t>
  </si>
  <si>
    <t>blind or 65</t>
  </si>
  <si>
    <t xml:space="preserve">add </t>
  </si>
  <si>
    <t>Medical Amt</t>
  </si>
  <si>
    <t>Student interest</t>
  </si>
  <si>
    <t>line 22</t>
  </si>
  <si>
    <t>round</t>
  </si>
  <si>
    <t>4-5</t>
  </si>
  <si>
    <t>married, or other</t>
  </si>
  <si>
    <t>interest</t>
  </si>
  <si>
    <t>7*1</t>
  </si>
  <si>
    <t>1-8</t>
  </si>
  <si>
    <t>single</t>
  </si>
  <si>
    <t>taxable</t>
  </si>
  <si>
    <t>TAX</t>
  </si>
  <si>
    <t>status</t>
  </si>
  <si>
    <t>married</t>
  </si>
  <si>
    <t>separate</t>
  </si>
  <si>
    <t>head</t>
  </si>
  <si>
    <t>by status</t>
  </si>
  <si>
    <t>Schedule d</t>
  </si>
  <si>
    <t>net</t>
  </si>
  <si>
    <t>add cap gains</t>
  </si>
  <si>
    <t>Qualifying</t>
  </si>
  <si>
    <t>qual CG</t>
  </si>
  <si>
    <t>Total tax</t>
  </si>
  <si>
    <t>CREDITS</t>
  </si>
  <si>
    <t>Mortgage Interest #1 …….</t>
  </si>
  <si>
    <t>#2 …………….</t>
  </si>
  <si>
    <t>#3 ……</t>
  </si>
  <si>
    <t>CHILD CARE CREDIT</t>
  </si>
  <si>
    <t>ROUND</t>
  </si>
  <si>
    <t>child tax credit</t>
  </si>
  <si>
    <t>paid</t>
  </si>
  <si>
    <t>income</t>
  </si>
  <si>
    <t>spouse income</t>
  </si>
  <si>
    <t>lesser</t>
  </si>
  <si>
    <t>AGI</t>
  </si>
  <si>
    <t>RATE</t>
  </si>
  <si>
    <t>CREDIT</t>
  </si>
  <si>
    <t>TAX AFTER CREDITS</t>
  </si>
  <si>
    <t>cc credit</t>
  </si>
  <si>
    <t>agi</t>
  </si>
  <si>
    <t>status limit</t>
  </si>
  <si>
    <t>phase out</t>
  </si>
  <si>
    <t>round up</t>
  </si>
  <si>
    <t>x.05</t>
  </si>
  <si>
    <t>TAX CREDIT TENTATIVE</t>
  </si>
  <si>
    <t>TAX CREDITS</t>
  </si>
  <si>
    <t>47-50</t>
  </si>
  <si>
    <t>7 AND 8 THE SAME</t>
  </si>
  <si>
    <t>MIN</t>
  </si>
  <si>
    <t>EIC</t>
  </si>
  <si>
    <t>EARNED INCOME</t>
  </si>
  <si>
    <t>QUAL CHILDREN</t>
  </si>
  <si>
    <t>5A</t>
  </si>
  <si>
    <t>5B</t>
  </si>
  <si>
    <t>YES 5</t>
  </si>
  <si>
    <t>EIC TABLES</t>
  </si>
  <si>
    <t>&gt;2</t>
  </si>
  <si>
    <t>if &lt;0</t>
  </si>
  <si>
    <t>middle</t>
  </si>
  <si>
    <t>single or head</t>
  </si>
  <si>
    <t>qual</t>
  </si>
  <si>
    <t>eic</t>
  </si>
  <si>
    <t>PAY PERIOD/ YR</t>
  </si>
  <si>
    <t>PAY PERIOD APPLY</t>
  </si>
  <si>
    <t>MARRIED SINGLE</t>
  </si>
  <si>
    <t>EXTRA WITHHOLDING</t>
  </si>
  <si>
    <t>EIC EARNED INCOME</t>
  </si>
  <si>
    <t>EIC AGI</t>
  </si>
  <si>
    <t>NO 5</t>
  </si>
  <si>
    <t>6A</t>
  </si>
  <si>
    <t>1 AND 3 THE SAME</t>
  </si>
  <si>
    <t>1 AND 3 THE SAME - FINAL EIC</t>
  </si>
  <si>
    <t>MARRIED OR SINGLE</t>
  </si>
  <si>
    <t>6B</t>
  </si>
  <si>
    <t>5 A OR B ARE TRUE -FINAL EIC</t>
  </si>
  <si>
    <t>6C</t>
  </si>
  <si>
    <t>5 A OR B IS TRUE</t>
  </si>
  <si>
    <t>WHICH EIC</t>
  </si>
  <si>
    <t>EIC AGI LESSER 2 OR 6</t>
  </si>
  <si>
    <t>6 FINAL</t>
  </si>
  <si>
    <t>FINAL EIC</t>
  </si>
  <si>
    <t>w2 t</t>
  </si>
  <si>
    <t>wt s</t>
  </si>
  <si>
    <t>c t</t>
  </si>
  <si>
    <t>c s</t>
  </si>
  <si>
    <t>f t</t>
  </si>
  <si>
    <t>f c</t>
  </si>
  <si>
    <t>total</t>
  </si>
  <si>
    <t>1040 line 51 or 10 above</t>
  </si>
  <si>
    <t>subtract but not &lt;0</t>
  </si>
  <si>
    <t xml:space="preserve">Add SS on deferred Wages </t>
  </si>
  <si>
    <t>Additional child tax credit</t>
  </si>
  <si>
    <t>State of Utah</t>
  </si>
  <si>
    <t>Name:</t>
  </si>
  <si>
    <t>name</t>
  </si>
  <si>
    <t>Status (Single,Married,Separate, Head)</t>
  </si>
  <si>
    <t>Exemptions</t>
  </si>
  <si>
    <t>Taxpayer Age</t>
  </si>
  <si>
    <t>Spouse Age</t>
  </si>
  <si>
    <t>Federal AGI</t>
  </si>
  <si>
    <t>Additions</t>
  </si>
  <si>
    <t>Subtractions</t>
  </si>
  <si>
    <t>Taxable Income</t>
  </si>
  <si>
    <t>Itemezed Ded or Standard</t>
  </si>
  <si>
    <t>State Income Tax (itemize)</t>
  </si>
  <si>
    <t>Total Deductions</t>
  </si>
  <si>
    <t>6% of 12</t>
  </si>
  <si>
    <t>Phase Out Amount</t>
  </si>
  <si>
    <t>Line 15 x.013</t>
  </si>
  <si>
    <t>Taxpayer Pensions</t>
  </si>
  <si>
    <t>Spouse Pensions</t>
  </si>
  <si>
    <t>Net tax</t>
  </si>
  <si>
    <t>Withholding</t>
  </si>
  <si>
    <t>Balance Due</t>
  </si>
  <si>
    <t>Refund</t>
  </si>
  <si>
    <t>reduction</t>
  </si>
  <si>
    <t>credit</t>
  </si>
  <si>
    <t>AGE</t>
  </si>
  <si>
    <t>RETIREMENT</t>
  </si>
  <si>
    <t>65??</t>
  </si>
  <si>
    <t>TAXPAYER</t>
  </si>
  <si>
    <t>SPOUSE</t>
  </si>
  <si>
    <t>retirement</t>
  </si>
  <si>
    <t>Age</t>
  </si>
  <si>
    <t>UTAH WITHHOLD PERIOD</t>
  </si>
  <si>
    <t>UTAH WITHHOLD YEAR</t>
  </si>
  <si>
    <t>GROSS YEAR AT FULL YEAR</t>
  </si>
  <si>
    <t>divide by 15k or 30k</t>
  </si>
  <si>
    <t>Interest ………………………………………………………………………………………………………………………………..</t>
  </si>
  <si>
    <t>Business Income Taxapayer …………………………………………………………………………………………..</t>
  </si>
  <si>
    <t xml:space="preserve"> ……………………………</t>
  </si>
  <si>
    <t>Moving Expenses Form 3903……………………………………………………………………………………………</t>
  </si>
  <si>
    <t>………….</t>
  </si>
  <si>
    <t>A1</t>
  </si>
  <si>
    <t>A4</t>
  </si>
  <si>
    <t>A5</t>
  </si>
  <si>
    <t>A6</t>
  </si>
  <si>
    <t>A7</t>
  </si>
  <si>
    <t>A15</t>
  </si>
  <si>
    <t>A19</t>
  </si>
  <si>
    <t>A28</t>
  </si>
  <si>
    <t>A30</t>
  </si>
  <si>
    <t>………..</t>
  </si>
  <si>
    <t>Total Withholding …………………………………………………………………………………………………………………….</t>
  </si>
  <si>
    <t>Federal AGI ……………………………………………………………………………………………………………………..</t>
  </si>
  <si>
    <t>Additions …………………………………………………………………………………………………………………………</t>
  </si>
  <si>
    <t>State Refund…………………………………………………………………………………………………………………….</t>
  </si>
  <si>
    <t>Taxable Income ……………………………………………………………………………………………………………….</t>
  </si>
  <si>
    <t>FEDERAL REFUND+ OR BALANCE-</t>
  </si>
  <si>
    <t>STATE REFUND+ OR BALANCE-</t>
  </si>
  <si>
    <t>blind</t>
  </si>
  <si>
    <t>pay period</t>
  </si>
  <si>
    <t>cgain data validation</t>
  </si>
  <si>
    <t>taxpayer</t>
  </si>
  <si>
    <t>not more than total</t>
  </si>
  <si>
    <t>status==================</t>
  </si>
  <si>
    <t>Taxpayer/ Spouse</t>
  </si>
  <si>
    <t>claim</t>
  </si>
  <si>
    <t>cgasin rates</t>
  </si>
  <si>
    <t>66a</t>
  </si>
  <si>
    <t>.Taxpayer /Spouse</t>
  </si>
  <si>
    <t>min</t>
  </si>
  <si>
    <t>number of children&gt;&gt;&gt;&gt;&gt;&gt;</t>
  </si>
  <si>
    <t>refundable</t>
  </si>
  <si>
    <t>LT Capital Gains</t>
  </si>
  <si>
    <t>Professional  (place "x")</t>
  </si>
  <si>
    <t>pass through deduction</t>
  </si>
  <si>
    <t>limit M/S</t>
  </si>
  <si>
    <t>pass through income Prof</t>
  </si>
  <si>
    <t>c tax</t>
  </si>
  <si>
    <t>c spo</t>
  </si>
  <si>
    <t>e1</t>
  </si>
  <si>
    <t>e2</t>
  </si>
  <si>
    <t xml:space="preserve">Total </t>
  </si>
  <si>
    <t>deduction</t>
  </si>
  <si>
    <t>agi less ptd</t>
  </si>
  <si>
    <t>Dependants &lt;17</t>
  </si>
  <si>
    <t>Dependants &gt;16</t>
  </si>
  <si>
    <t>Other dependants</t>
  </si>
  <si>
    <t>line 1 above</t>
  </si>
  <si>
    <t>ord</t>
  </si>
  <si>
    <t>f tax</t>
  </si>
  <si>
    <t>f spo</t>
  </si>
  <si>
    <t>DIF</t>
  </si>
  <si>
    <t>Total</t>
  </si>
  <si>
    <t>Partnerships, Scorporations Sch E (active)……..</t>
  </si>
  <si>
    <t>Additional Child Tax Credit ……………………………………………………………………………………….</t>
  </si>
  <si>
    <t>tax</t>
  </si>
  <si>
    <t>rate</t>
  </si>
  <si>
    <t>add</t>
  </si>
  <si>
    <t>per pay</t>
  </si>
  <si>
    <t>totla per pay</t>
  </si>
  <si>
    <t>totla year</t>
  </si>
  <si>
    <t>Bonus pay period=1</t>
  </si>
  <si>
    <t>Bonus</t>
  </si>
  <si>
    <t>.MARRIED SINGLE, HEAD</t>
  </si>
  <si>
    <t>H</t>
  </si>
  <si>
    <t>CHILD TAX CREDIT</t>
  </si>
  <si>
    <t>Child Credit &lt;17=2000, &gt;16=500</t>
  </si>
  <si>
    <t>OTHER INCOME</t>
  </si>
  <si>
    <t>EXCESS DEDUCTION</t>
  </si>
  <si>
    <t>2 JOBS</t>
  </si>
  <si>
    <t>YN</t>
  </si>
  <si>
    <t>Y</t>
  </si>
  <si>
    <t>N</t>
  </si>
  <si>
    <t>MAR SIGL HEAD</t>
  </si>
  <si>
    <t>EXCESS DEDUCTIONS</t>
  </si>
  <si>
    <t>YEAR</t>
  </si>
  <si>
    <t>CT CREDIT</t>
  </si>
  <si>
    <t>ADJUSTED YR WAGE</t>
  </si>
  <si>
    <t>OTHER+</t>
  </si>
  <si>
    <t>DED-</t>
  </si>
  <si>
    <t>2 JOBS-</t>
  </si>
  <si>
    <t>YR WAGE calc</t>
  </si>
  <si>
    <t>WITHHOLDING yr box checked</t>
  </si>
  <si>
    <t>WITHHOLDING YR BOX NOT CHECKED</t>
  </si>
  <si>
    <t>withholding  YR FINAL</t>
  </si>
  <si>
    <t>PAY PERIOD +EXTRA</t>
  </si>
  <si>
    <t>YEAR TOTAL BY PERIOD APPLIED</t>
  </si>
  <si>
    <t>xxxxxxxxxxxxx</t>
  </si>
  <si>
    <t>7.5%</t>
  </si>
  <si>
    <t>Total Income ……………………………………………………………………………………………………………………….................</t>
  </si>
  <si>
    <t>Educator Expenses ……………………………………………………………………………………………………………..................</t>
  </si>
  <si>
    <t>Form 2106 for Reservists, Performning Artists ………………………………………………………………….................</t>
  </si>
  <si>
    <t>HSA Expenses  for 8889 ……………………………………………………………………………………………………...................</t>
  </si>
  <si>
    <t>Self Employment Deduction ……………………………………………………………………………………………...................</t>
  </si>
  <si>
    <t>SEP or Simple Plans …………………………………………………………………………………………………………….................</t>
  </si>
  <si>
    <t>Self Employment Health Insurance Deduction ………………………………………………………………...................</t>
  </si>
  <si>
    <t>Penalty for Early Withdrawls ……………………………………………………………………………………………..................</t>
  </si>
  <si>
    <t>Alimony Paid ………………………………………………………………………………………………………………………................</t>
  </si>
  <si>
    <t>IRA Deduction …………………………………………………………………………………………………………………….................</t>
  </si>
  <si>
    <t>Student Loan Interest Deduction ………………………………………………………………………………........................</t>
  </si>
  <si>
    <t xml:space="preserve">  Net Deduction ………………………………….......................</t>
  </si>
  <si>
    <t>Tuition and Fees Form 8917 ……………………………………………………………………………………………….................</t>
  </si>
  <si>
    <t>Total Lines 23 through 35 …………………………………………………………………………………………………..................</t>
  </si>
  <si>
    <t>Adjusted Gross Income. …………………………………………………………………………………………………….................</t>
  </si>
  <si>
    <t xml:space="preserve">  Deductable Medical Expenses ………….......................</t>
  </si>
  <si>
    <t>Taxable………………………………………........................</t>
  </si>
  <si>
    <t>Unemployment ……………………………………………………………………………………………………………………...............</t>
  </si>
  <si>
    <t>Other Income ……………………………………………………………………………………………………………………..................</t>
  </si>
  <si>
    <t>ST Gains &amp; Other Gains and Losses (Form 4797)……………………………………………………………………................</t>
  </si>
  <si>
    <t>Wages Taxpayer…………………………………………………………………………………………………………………...................</t>
  </si>
  <si>
    <t>Wages Spouse……………………………………………………………………………………………………………………....................</t>
  </si>
  <si>
    <t>Taxable Refunds………………………………………………………………………………………………………………......................</t>
  </si>
  <si>
    <t>Alimony Income ………………………………………………………………………………………………………………......................</t>
  </si>
  <si>
    <t>Rental Real Estate, Royalties, Trusts Schedule E (passive)…………………………………...…….........................</t>
  </si>
  <si>
    <t>Property Taxes ……………………………………………………………………………………………………………………..................</t>
  </si>
  <si>
    <t>Other Taxes ……………………………………………………………………………………………………………………….....................</t>
  </si>
  <si>
    <t>Total Taxes ……………………………………………………………………………………………………………………........................</t>
  </si>
  <si>
    <t>Charity …………………………………………………………………………………………………………………………………..................</t>
  </si>
  <si>
    <t>Causulty Loss (federal Disaster only) …………………………………………………………………………….......................</t>
  </si>
  <si>
    <t>Total Itemized Deductions …………………………………………………………………………………………………….................</t>
  </si>
  <si>
    <t>Standard Deductions………………...………………………………………………………………………………………....................</t>
  </si>
  <si>
    <t>Itemized Deductions or Standard………………………………………………………………………………………...................</t>
  </si>
  <si>
    <t>Subtract 40 from 38 ……………………………………………………………………………………………………………....................</t>
  </si>
  <si>
    <t>Taxable Income ………………………………………………………………………………………………………………….....................</t>
  </si>
  <si>
    <t>Tax ……………………………………………………………………………………………………………………………………........................</t>
  </si>
  <si>
    <t>AMT Tax …………………………………………………………………………………………………………………………….......................</t>
  </si>
  <si>
    <t>Adavance premium tax credit…………………………………………………………………………………………........................</t>
  </si>
  <si>
    <t>Add 44 through 46 …………………………………………………………………………………………………………………….................</t>
  </si>
  <si>
    <t>Foreign Tax Credit …………………………………………………………………………………………………………….....................</t>
  </si>
  <si>
    <t>Education Credit ……………………………………………………………………………………………………………….......................</t>
  </si>
  <si>
    <t>Retirement Savings Credit ………………………………………………………………………………………………......................</t>
  </si>
  <si>
    <t>Child Tax Credit ….............................................................................................................................</t>
  </si>
  <si>
    <t>Residentail Energy Credit ………………………………………………………………………………………………….....................</t>
  </si>
  <si>
    <t>Other Credits 3800,8801 …………………………………………………………………………………………………….......................</t>
  </si>
  <si>
    <t>Total Credits Lines 47 throughh 53 …………………………………………………………………………………….......................</t>
  </si>
  <si>
    <t>Tax Less Credits Subtract line 54 from line 46 …………………………………………………………………...........................</t>
  </si>
  <si>
    <t>Self employment Taxes ……………………………………………………………………………………………………....................</t>
  </si>
  <si>
    <t>Unreported Scoial Security and Medicare Tax form 4137, 8919 ……………………………………….......................</t>
  </si>
  <si>
    <t>Additional Tax on IRS Attach Form 5329 …………………………………………………………………………........................</t>
  </si>
  <si>
    <t>Total Tax …………………………………………………………………………………………………………………………….......................</t>
  </si>
  <si>
    <t>Federal Income Taxes Withheld ……………………………………………………………………………………….....................</t>
  </si>
  <si>
    <t>Estimated Payments ………………………………………………………………………………………………………….....................</t>
  </si>
  <si>
    <t>American Opportunity Credit …………………………………………………………………………………………........................</t>
  </si>
  <si>
    <t>Excess Social Security Tax ………………………………………………………………………………………………….......................</t>
  </si>
  <si>
    <t>Credit for Fuels Tax ……………………………………………………………………………………………………………......................</t>
  </si>
  <si>
    <t>Credits Forms 2439,8839,8801,8885 ………………………………………………………………………………….......................</t>
  </si>
  <si>
    <t>Total Payments …………………………………………………………………………………………………………………........................</t>
  </si>
  <si>
    <t>REFUND ……………………………………………………………………………………………………………………………...........................</t>
  </si>
  <si>
    <t>AMOUNT YOU OWE …………………………………………………………………………………………………………............................</t>
  </si>
  <si>
    <t>Taxable………………………………......................</t>
  </si>
  <si>
    <t xml:space="preserve"> …………………………………………........................</t>
  </si>
  <si>
    <t>Pensions Spouse………………………………………………………………………………………………………….......15,16</t>
  </si>
  <si>
    <t>Pensions Taxpayer…………………………………………………………………………………………………………….15,16</t>
  </si>
  <si>
    <t>Paid in 2019</t>
  </si>
  <si>
    <t>Phase Out …………………………………………………………………………………………………………………………..</t>
  </si>
  <si>
    <t>Taxpayer Credit …………………………………………………………………………………………………………………</t>
  </si>
  <si>
    <t>Tax ………………………………………………………………………………………………………………………………………</t>
  </si>
  <si>
    <t>AMOUNT YOU OWE …………………………………………………………………………………………………………........</t>
  </si>
  <si>
    <t>REFUND …………………………………………………………………………………………………………………………….......</t>
  </si>
  <si>
    <t>Other Itemized Deductions  …………………………………………………………………............................</t>
  </si>
  <si>
    <t>Total Adjustments …………………………………………………………………………………………………..................</t>
  </si>
  <si>
    <t>?????</t>
  </si>
  <si>
    <t>specified service</t>
  </si>
  <si>
    <t>Qualified Business Income Deduction (over threshhold)…………………………………………………......................</t>
  </si>
  <si>
    <t>Qualified Business Income Deduction Calculated (under threshhold)…………………………………………………......................</t>
  </si>
  <si>
    <t>agi-qbi</t>
  </si>
  <si>
    <t>ded</t>
  </si>
  <si>
    <t>tax-qbi</t>
  </si>
  <si>
    <t>before qbi</t>
  </si>
  <si>
    <t>adj</t>
  </si>
  <si>
    <t>limit taxes</t>
  </si>
  <si>
    <t>NOT USED SEE OYTHER TAB</t>
  </si>
  <si>
    <t>check for below zero</t>
  </si>
  <si>
    <t>4,5</t>
  </si>
  <si>
    <t>Pensions Taxpayer…………………………………………………………………………………………………………….</t>
  </si>
  <si>
    <t>1-1</t>
  </si>
  <si>
    <t>1-5</t>
  </si>
  <si>
    <t>1-2</t>
  </si>
  <si>
    <t>1-3</t>
  </si>
  <si>
    <t>1-4</t>
  </si>
  <si>
    <t>1-6</t>
  </si>
  <si>
    <t>1-7</t>
  </si>
  <si>
    <t>1-10</t>
  </si>
  <si>
    <t>1-11</t>
  </si>
  <si>
    <t>1-12</t>
  </si>
  <si>
    <t>1-14</t>
  </si>
  <si>
    <t>1-15</t>
  </si>
  <si>
    <t>1-16</t>
  </si>
  <si>
    <t>1-17</t>
  </si>
  <si>
    <t>1-18</t>
  </si>
  <si>
    <t>1-19</t>
  </si>
  <si>
    <t>1-20</t>
  </si>
  <si>
    <t>1-21</t>
  </si>
  <si>
    <t>Itemized Deductions or Standard …………………………………………………...................................</t>
  </si>
  <si>
    <t>PAGE 2 TAX AND CREDITS</t>
  </si>
  <si>
    <t>10c</t>
  </si>
  <si>
    <t>Total Adjustmenst Schedule 1 + 10b …………………………………………………………………………………………………..................</t>
  </si>
  <si>
    <t>Qual Child</t>
  </si>
  <si>
    <t>withholding  YR FINAL box check</t>
  </si>
  <si>
    <t>Refund (sched A)</t>
  </si>
  <si>
    <t>utah tables publication 14</t>
  </si>
  <si>
    <t>Qualified Business Income Deduction …………………………………………………...........................</t>
  </si>
  <si>
    <t>3-1</t>
  </si>
  <si>
    <t>3-2</t>
  </si>
  <si>
    <t>3-3</t>
  </si>
  <si>
    <t>3-4</t>
  </si>
  <si>
    <t>3-5</t>
  </si>
  <si>
    <t>3-6</t>
  </si>
  <si>
    <t>Tax Less Credits Subtract line 3-7 from line 2-3 …………………………………………………………………...........................</t>
  </si>
  <si>
    <t>2-4</t>
  </si>
  <si>
    <t>2-5</t>
  </si>
  <si>
    <t>2-6</t>
  </si>
  <si>
    <t>2-7</t>
  </si>
  <si>
    <t>2-8</t>
  </si>
  <si>
    <t>Household Employment Taxes &amp; First Time Homebuyer Repayment …………………………………………………………………………………………......................</t>
  </si>
  <si>
    <t>Taxes Form 8959 and 8960 …...........................................................................................</t>
  </si>
  <si>
    <t>2-9</t>
  </si>
  <si>
    <t>Section 965 Net tax Liability Installment….......................................................................</t>
  </si>
  <si>
    <t>2-10</t>
  </si>
  <si>
    <t>Recovery Rebate Credit …...............................................................................................</t>
  </si>
  <si>
    <t>Net Premium Tax Credit…...............................................................................................</t>
  </si>
  <si>
    <t>Amount Paid with Extension …...............................................................................................</t>
  </si>
  <si>
    <t>3-8</t>
  </si>
  <si>
    <t>3-9</t>
  </si>
  <si>
    <t>3-10</t>
  </si>
  <si>
    <t>3-11</t>
  </si>
  <si>
    <t>3-12</t>
  </si>
  <si>
    <t>Total Credits Lines 3-1 throughh 3-7 + Child Tax Credit………………………………………………………………………………….......................</t>
  </si>
  <si>
    <t>??</t>
  </si>
  <si>
    <t>SS credit</t>
  </si>
  <si>
    <t>ss</t>
  </si>
  <si>
    <t>line 6</t>
  </si>
  <si>
    <t>te</t>
  </si>
  <si>
    <t>reduce by status</t>
  </si>
  <si>
    <t>6-8</t>
  </si>
  <si>
    <t>2.5% 9</t>
  </si>
  <si>
    <t>7-10</t>
  </si>
  <si>
    <t>Nonrefundable Credits (Retirement &amp; Social Security)……………………………………………………</t>
  </si>
  <si>
    <t>Retirement Credits(non refundable)</t>
  </si>
  <si>
    <t>PAYER</t>
  </si>
  <si>
    <t>MILITARY</t>
  </si>
  <si>
    <t>MILITARY(x)</t>
  </si>
  <si>
    <t>Subtractions……………………………………………………………………………………………………………….</t>
  </si>
  <si>
    <t>limit 1700*kids</t>
  </si>
  <si>
    <t>ut wages</t>
  </si>
  <si>
    <t>Tax &amp; W4 Planner 2025</t>
  </si>
  <si>
    <t>Paid in 2023</t>
  </si>
  <si>
    <t>State Tax Flat 4.55% ………………………………..……………………………………………………………………....</t>
  </si>
  <si>
    <t>Line 9 less 17</t>
  </si>
  <si>
    <t>Tax Credit Line 16  less 19</t>
  </si>
  <si>
    <t>Income Tax 10 less 17</t>
  </si>
  <si>
    <t>Child Tax Credit</t>
  </si>
  <si>
    <t>x1000</t>
  </si>
  <si>
    <t>tentative</t>
  </si>
  <si>
    <t>percentage—</t>
  </si>
  <si>
    <t>Wage</t>
  </si>
  <si>
    <t>exceeds—</t>
  </si>
  <si>
    <t>than—</t>
  </si>
  <si>
    <t>Percentage</t>
  </si>
  <si>
    <t>Method</t>
  </si>
  <si>
    <t>Tables</t>
  </si>
  <si>
    <t>for</t>
  </si>
  <si>
    <t>Manual</t>
  </si>
  <si>
    <t>Payroll</t>
  </si>
  <si>
    <t>Systems</t>
  </si>
  <si>
    <t>With</t>
  </si>
  <si>
    <t>Forms</t>
  </si>
  <si>
    <t>W-4</t>
  </si>
  <si>
    <t>From</t>
  </si>
  <si>
    <t>or</t>
  </si>
  <si>
    <t>Later</t>
  </si>
  <si>
    <t>MONTHLY</t>
  </si>
  <si>
    <t>Period</t>
  </si>
  <si>
    <t>STANDARD</t>
  </si>
  <si>
    <t>Rate</t>
  </si>
  <si>
    <t>Schedules</t>
  </si>
  <si>
    <t>(Use</t>
  </si>
  <si>
    <t>these</t>
  </si>
  <si>
    <t>if</t>
  </si>
  <si>
    <t>the</t>
  </si>
  <si>
    <t>box</t>
  </si>
  <si>
    <t>in</t>
  </si>
  <si>
    <t>Step</t>
  </si>
  <si>
    <t>of</t>
  </si>
  <si>
    <t>Form</t>
  </si>
  <si>
    <t>is</t>
  </si>
  <si>
    <t>NOT</t>
  </si>
  <si>
    <t>checked)</t>
  </si>
  <si>
    <t>W-4,</t>
  </si>
  <si>
    <t>2,</t>
  </si>
  <si>
    <t>Checkbox,</t>
  </si>
  <si>
    <t>IS</t>
  </si>
  <si>
    <t>If</t>
  </si>
  <si>
    <t>Adjusted</t>
  </si>
  <si>
    <t>Amount</t>
  </si>
  <si>
    <t>(line</t>
  </si>
  <si>
    <t>1h)</t>
  </si>
  <si>
    <t>is:</t>
  </si>
  <si>
    <t>The</t>
  </si>
  <si>
    <t>amount</t>
  </si>
  <si>
    <t>to</t>
  </si>
  <si>
    <t>withhold</t>
  </si>
  <si>
    <t>Plus</t>
  </si>
  <si>
    <t>this</t>
  </si>
  <si>
    <t>that</t>
  </si>
  <si>
    <t>exceeds—At</t>
  </si>
  <si>
    <t>least—</t>
  </si>
  <si>
    <t>But</t>
  </si>
  <si>
    <t>less</t>
  </si>
  <si>
    <t>At</t>
  </si>
  <si>
    <t>A</t>
  </si>
  <si>
    <t>B</t>
  </si>
  <si>
    <t>C</t>
  </si>
  <si>
    <t>D</t>
  </si>
  <si>
    <t>E</t>
  </si>
  <si>
    <t>Married</t>
  </si>
  <si>
    <t>Filing</t>
  </si>
  <si>
    <t>Jointly</t>
  </si>
  <si>
    <t>Single</t>
  </si>
  <si>
    <t>Separately</t>
  </si>
  <si>
    <t>Head</t>
  </si>
  <si>
    <t>Household</t>
  </si>
  <si>
    <t>box checked</t>
  </si>
  <si>
    <t>use table for percentage monthlyx12</t>
  </si>
  <si>
    <t>over 65 extra</t>
  </si>
  <si>
    <t>high</t>
  </si>
  <si>
    <t>low</t>
  </si>
  <si>
    <t>amt</t>
  </si>
  <si>
    <t>.</t>
  </si>
  <si>
    <t>Tips</t>
  </si>
  <si>
    <t>Overtime</t>
  </si>
  <si>
    <t>Vehicle Interest</t>
  </si>
  <si>
    <t>TIPs</t>
  </si>
  <si>
    <t>14c</t>
  </si>
  <si>
    <t>Interest</t>
  </si>
  <si>
    <t>Add 12 and 13a and 13b ……………………………………………………………………………………………………………....................</t>
  </si>
  <si>
    <t>1A-4a</t>
  </si>
  <si>
    <t>1A-14c</t>
  </si>
  <si>
    <t>1A-23</t>
  </si>
  <si>
    <t>1A-37</t>
  </si>
  <si>
    <t>Seniors Discount…..........................................................................................................</t>
  </si>
  <si>
    <t>1A37</t>
  </si>
  <si>
    <t>1A4a</t>
  </si>
  <si>
    <t>1A14c</t>
  </si>
  <si>
    <t>1A23</t>
  </si>
  <si>
    <t>Tax &amp; W4 Planner 2026</t>
  </si>
  <si>
    <t>add 450 or 1350</t>
  </si>
  <si>
    <t>qualifying x2200</t>
  </si>
  <si>
    <t xml:space="preserve">  Deductable Charity…………..............................</t>
  </si>
  <si>
    <t xml:space="preserve">   .5%</t>
  </si>
  <si>
    <t>Charity above the line</t>
  </si>
  <si>
    <t>Itemized</t>
  </si>
  <si>
    <t>taxable less</t>
  </si>
  <si>
    <t>charity limit</t>
  </si>
  <si>
    <t>charity</t>
  </si>
  <si>
    <t>Salt</t>
  </si>
  <si>
    <t>taxes</t>
  </si>
  <si>
    <t>Limit</t>
  </si>
  <si>
    <t>salt limit</t>
  </si>
  <si>
    <t>max</t>
  </si>
  <si>
    <t>agi limit</t>
  </si>
  <si>
    <t>8-9</t>
  </si>
  <si>
    <t>x</t>
  </si>
  <si>
    <t>update 1-5-26</t>
  </si>
  <si>
    <t>update1-5-26</t>
  </si>
  <si>
    <t>filing status</t>
  </si>
  <si>
    <t>update 1-6-26</t>
  </si>
  <si>
    <t>Flat Tax 4.5</t>
  </si>
  <si>
    <t>$2111 times Exemptions</t>
  </si>
  <si>
    <t>#&lt;4</t>
  </si>
  <si>
    <t>Child &lt;6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</si>
</sst>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_(* #,##0_);_(* \(#,##0\);_(* &quot;-&quot;??_);_(@_)"/>
    <numFmt numFmtId="166" formatCode="&quot;$&quot;#,##0"/>
    <numFmt numFmtId="167" formatCode="0.0%"/>
  </numFmts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6969"/>
      <name val="Calibri"/>
      <family val="2"/>
      <scheme val="minor"/>
    </font>
    <font>
      <sz val="9"/>
      <color indexed="81"/>
      <name val="Tahoma"/>
      <family val="2"/>
    </font>
    <font>
      <sz val="10"/>
      <color theme="1"/>
      <name val="Arial Unicode MS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7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5" borderId="3" xfId="0" applyFill="1" applyBorder="1"/>
    <xf numFmtId="0" fontId="0" fillId="5" borderId="0" xfId="0" applyFill="1"/>
    <xf numFmtId="0" fontId="0" fillId="0" borderId="0" xfId="0" applyAlignment="1">
      <alignment horizontal="center"/>
    </xf>
    <xf numFmtId="0" fontId="0" fillId="5" borderId="2" xfId="0" applyFill="1" applyBorder="1" applyAlignment="1">
      <alignment horizontal="center" vertical="center" textRotation="90" wrapText="1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left"/>
    </xf>
    <xf numFmtId="165" fontId="3" fillId="0" borderId="1" xfId="1" applyNumberFormat="1" applyBorder="1" applyAlignment="1">
      <alignment horizontal="left"/>
    </xf>
    <xf numFmtId="165" fontId="3" fillId="0" borderId="1" xfId="1" applyNumberFormat="1" applyBorder="1" applyAlignment="1">
      <alignment horizontal="center"/>
    </xf>
    <xf numFmtId="0" fontId="4" fillId="6" borderId="0" xfId="0" applyFont="1" applyFill="1"/>
    <xf numFmtId="0" fontId="0" fillId="6" borderId="0" xfId="0" applyFill="1"/>
    <xf numFmtId="0" fontId="0" fillId="6" borderId="0" xfId="0" applyFill="1" applyAlignment="1">
      <alignment horizontal="center"/>
    </xf>
    <xf numFmtId="0" fontId="0" fillId="6" borderId="2" xfId="0" applyFill="1" applyBorder="1" applyAlignment="1">
      <alignment horizontal="center"/>
    </xf>
    <xf numFmtId="165" fontId="0" fillId="0" borderId="0" xfId="0" applyNumberFormat="1"/>
    <xf numFmtId="43" fontId="0" fillId="0" borderId="0" xfId="0" applyNumberFormat="1"/>
    <xf numFmtId="9" fontId="3" fillId="0" borderId="0" xfId="3" applyAlignment="1">
      <alignment horizontal="center"/>
    </xf>
    <xf numFmtId="49" fontId="0" fillId="0" borderId="2" xfId="0" applyNumberFormat="1" applyBorder="1"/>
    <xf numFmtId="165" fontId="3" fillId="0" borderId="0" xfId="1" applyNumberFormat="1"/>
    <xf numFmtId="0" fontId="0" fillId="5" borderId="4" xfId="0" applyFill="1" applyBorder="1" applyAlignment="1">
      <alignment horizontal="center" vertical="center" wrapText="1"/>
    </xf>
    <xf numFmtId="165" fontId="3" fillId="0" borderId="2" xfId="1" applyNumberFormat="1" applyBorder="1"/>
    <xf numFmtId="0" fontId="0" fillId="0" borderId="0" xfId="0" applyAlignment="1">
      <alignment wrapText="1"/>
    </xf>
    <xf numFmtId="16" fontId="0" fillId="0" borderId="0" xfId="0" applyNumberFormat="1"/>
    <xf numFmtId="16" fontId="0" fillId="0" borderId="0" xfId="0" quotePrefix="1" applyNumberFormat="1"/>
    <xf numFmtId="0" fontId="0" fillId="0" borderId="0" xfId="0" quotePrefix="1"/>
    <xf numFmtId="9" fontId="0" fillId="0" borderId="0" xfId="0" applyNumberFormat="1"/>
    <xf numFmtId="164" fontId="3" fillId="0" borderId="0" xfId="1" applyNumberFormat="1"/>
    <xf numFmtId="165" fontId="3" fillId="0" borderId="0" xfId="1" applyNumberFormat="1" applyAlignment="1">
      <alignment horizontal="center"/>
    </xf>
    <xf numFmtId="165" fontId="3" fillId="0" borderId="0" xfId="1" quotePrefix="1" applyNumberFormat="1"/>
    <xf numFmtId="0" fontId="0" fillId="7" borderId="0" xfId="0" applyFill="1"/>
    <xf numFmtId="165" fontId="0" fillId="7" borderId="0" xfId="0" applyNumberFormat="1" applyFill="1"/>
    <xf numFmtId="43" fontId="3" fillId="0" borderId="0" xfId="1"/>
    <xf numFmtId="0" fontId="0" fillId="0" borderId="0" xfId="0" applyAlignment="1">
      <alignment horizontal="right"/>
    </xf>
    <xf numFmtId="165" fontId="3" fillId="7" borderId="0" xfId="1" applyNumberFormat="1" applyFill="1"/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textRotation="90" wrapText="1"/>
    </xf>
    <xf numFmtId="0" fontId="6" fillId="5" borderId="2" xfId="0" applyFont="1" applyFill="1" applyBorder="1" applyAlignment="1">
      <alignment horizontal="center" vertical="center" textRotation="90" wrapText="1"/>
    </xf>
    <xf numFmtId="165" fontId="3" fillId="8" borderId="0" xfId="1" applyNumberFormat="1" applyFill="1"/>
    <xf numFmtId="0" fontId="0" fillId="2" borderId="2" xfId="0" applyFill="1" applyBorder="1" applyProtection="1">
      <protection locked="0"/>
    </xf>
    <xf numFmtId="165" fontId="3" fillId="2" borderId="2" xfId="1" applyNumberFormat="1" applyFill="1" applyBorder="1" applyProtection="1">
      <protection locked="0"/>
    </xf>
    <xf numFmtId="165" fontId="1" fillId="3" borderId="2" xfId="1" applyNumberFormat="1" applyFont="1" applyFill="1" applyBorder="1"/>
    <xf numFmtId="165" fontId="1" fillId="4" borderId="2" xfId="1" applyNumberFormat="1" applyFont="1" applyFill="1" applyBorder="1"/>
    <xf numFmtId="0" fontId="0" fillId="5" borderId="2" xfId="0" applyFill="1" applyBorder="1" applyProtection="1">
      <protection locked="0"/>
    </xf>
    <xf numFmtId="165" fontId="3" fillId="5" borderId="2" xfId="1" applyNumberFormat="1" applyFill="1" applyBorder="1" applyProtection="1">
      <protection locked="0"/>
    </xf>
    <xf numFmtId="0" fontId="0" fillId="9" borderId="2" xfId="0" applyFill="1" applyBorder="1" applyAlignment="1">
      <alignment horizontal="center"/>
    </xf>
    <xf numFmtId="165" fontId="3" fillId="9" borderId="2" xfId="1" applyNumberFormat="1" applyFill="1" applyBorder="1" applyAlignment="1">
      <alignment horizontal="center"/>
    </xf>
    <xf numFmtId="165" fontId="3" fillId="9" borderId="2" xfId="1" applyNumberFormat="1" applyFill="1" applyBorder="1"/>
    <xf numFmtId="165" fontId="3" fillId="7" borderId="2" xfId="1" applyNumberFormat="1" applyFill="1" applyBorder="1"/>
    <xf numFmtId="165" fontId="3" fillId="5" borderId="2" xfId="1" applyNumberFormat="1" applyFill="1" applyBorder="1" applyAlignment="1">
      <alignment horizontal="center"/>
    </xf>
    <xf numFmtId="165" fontId="3" fillId="5" borderId="1" xfId="1" applyNumberFormat="1" applyFill="1" applyBorder="1" applyAlignment="1">
      <alignment horizontal="left"/>
    </xf>
    <xf numFmtId="165" fontId="3" fillId="5" borderId="2" xfId="1" applyNumberFormat="1" applyFill="1" applyBorder="1"/>
    <xf numFmtId="165" fontId="3" fillId="5" borderId="1" xfId="1" applyNumberForma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43" fontId="3" fillId="5" borderId="2" xfId="1" applyFill="1" applyBorder="1"/>
    <xf numFmtId="43" fontId="3" fillId="5" borderId="2" xfId="1" applyFill="1" applyBorder="1" applyAlignment="1">
      <alignment horizontal="center"/>
    </xf>
    <xf numFmtId="165" fontId="2" fillId="0" borderId="0" xfId="0" applyNumberFormat="1" applyFont="1"/>
    <xf numFmtId="43" fontId="0" fillId="5" borderId="2" xfId="0" applyNumberFormat="1" applyFill="1" applyBorder="1"/>
    <xf numFmtId="0" fontId="0" fillId="7" borderId="2" xfId="0" applyFill="1" applyBorder="1" applyAlignment="1" applyProtection="1">
      <alignment horizontal="center"/>
      <protection locked="0"/>
    </xf>
    <xf numFmtId="1" fontId="3" fillId="7" borderId="2" xfId="1" applyNumberFormat="1" applyFill="1" applyBorder="1" applyAlignment="1" applyProtection="1">
      <alignment horizontal="center"/>
      <protection locked="0"/>
    </xf>
    <xf numFmtId="1" fontId="3" fillId="7" borderId="1" xfId="1" applyNumberFormat="1" applyFill="1" applyBorder="1" applyAlignment="1" applyProtection="1">
      <alignment horizontal="center"/>
      <protection locked="0"/>
    </xf>
    <xf numFmtId="1" fontId="0" fillId="7" borderId="2" xfId="0" applyNumberFormat="1" applyFill="1" applyBorder="1" applyAlignment="1" applyProtection="1">
      <alignment horizontal="center"/>
      <protection locked="0"/>
    </xf>
    <xf numFmtId="1" fontId="0" fillId="7" borderId="1" xfId="0" applyNumberFormat="1" applyFill="1" applyBorder="1" applyAlignment="1" applyProtection="1">
      <alignment horizontal="center"/>
      <protection locked="0"/>
    </xf>
    <xf numFmtId="0" fontId="0" fillId="0" borderId="5" xfId="0" applyBorder="1"/>
    <xf numFmtId="165" fontId="3" fillId="7" borderId="2" xfId="1" applyNumberFormat="1" applyFill="1" applyBorder="1" applyProtection="1">
      <protection locked="0"/>
    </xf>
    <xf numFmtId="0" fontId="0" fillId="5" borderId="0" xfId="0" applyFill="1" applyAlignment="1" applyProtection="1">
      <alignment horizontal="center"/>
      <protection locked="0"/>
    </xf>
    <xf numFmtId="1" fontId="0" fillId="5" borderId="0" xfId="0" applyNumberFormat="1" applyFill="1" applyAlignment="1" applyProtection="1">
      <alignment horizontal="center"/>
      <protection locked="0"/>
    </xf>
    <xf numFmtId="165" fontId="3" fillId="5" borderId="0" xfId="1" applyNumberFormat="1" applyFill="1" applyAlignment="1" applyProtection="1">
      <alignment horizontal="center"/>
      <protection locked="0"/>
    </xf>
    <xf numFmtId="165" fontId="3" fillId="5" borderId="0" xfId="1" applyNumberFormat="1" applyFill="1" applyAlignment="1">
      <alignment horizontal="center"/>
    </xf>
    <xf numFmtId="0" fontId="8" fillId="0" borderId="0" xfId="0" applyFont="1"/>
    <xf numFmtId="0" fontId="6" fillId="0" borderId="0" xfId="0" quotePrefix="1" applyFont="1"/>
    <xf numFmtId="0" fontId="8" fillId="7" borderId="0" xfId="0" applyFont="1" applyFill="1"/>
    <xf numFmtId="0" fontId="6" fillId="0" borderId="2" xfId="0" applyFont="1" applyBorder="1" applyAlignment="1">
      <alignment horizontal="center" vertical="center" textRotation="90" wrapText="1"/>
    </xf>
    <xf numFmtId="167" fontId="0" fillId="0" borderId="0" xfId="0" applyNumberFormat="1"/>
    <xf numFmtId="0" fontId="0" fillId="7" borderId="1" xfId="0" applyFill="1" applyBorder="1" applyAlignment="1" applyProtection="1">
      <alignment horizontal="center"/>
      <protection locked="0"/>
    </xf>
    <xf numFmtId="0" fontId="0" fillId="5" borderId="0" xfId="0" applyFill="1" applyAlignment="1">
      <alignment horizontal="center"/>
    </xf>
    <xf numFmtId="0" fontId="0" fillId="7" borderId="2" xfId="0" applyFill="1" applyBorder="1" applyProtection="1">
      <protection locked="0"/>
    </xf>
    <xf numFmtId="165" fontId="3" fillId="9" borderId="1" xfId="1" applyNumberFormat="1" applyFill="1" applyBorder="1" applyAlignment="1">
      <alignment horizontal="center"/>
    </xf>
    <xf numFmtId="0" fontId="0" fillId="7" borderId="0" xfId="0" applyFill="1" applyAlignment="1">
      <alignment horizontal="left"/>
    </xf>
    <xf numFmtId="0" fontId="0" fillId="9" borderId="1" xfId="0" applyFill="1" applyBorder="1" applyAlignment="1">
      <alignment horizontal="center"/>
    </xf>
    <xf numFmtId="1" fontId="0" fillId="0" borderId="1" xfId="0" applyNumberFormat="1" applyBorder="1"/>
    <xf numFmtId="1" fontId="0" fillId="0" borderId="0" xfId="0" applyNumberFormat="1"/>
    <xf numFmtId="0" fontId="7" fillId="0" borderId="0" xfId="0" applyFont="1" applyAlignment="1">
      <alignment horizontal="center"/>
    </xf>
    <xf numFmtId="165" fontId="3" fillId="0" borderId="1" xfId="1" applyNumberFormat="1" applyBorder="1"/>
    <xf numFmtId="0" fontId="0" fillId="13" borderId="0" xfId="0" applyFill="1"/>
    <xf numFmtId="0" fontId="0" fillId="14" borderId="0" xfId="0" applyFill="1"/>
    <xf numFmtId="165" fontId="3" fillId="10" borderId="0" xfId="1" applyNumberFormat="1" applyFill="1"/>
    <xf numFmtId="0" fontId="0" fillId="12" borderId="11" xfId="0" applyFill="1" applyBorder="1" applyProtection="1">
      <protection locked="0"/>
    </xf>
    <xf numFmtId="0" fontId="0" fillId="12" borderId="12" xfId="0" applyFill="1" applyBorder="1" applyProtection="1">
      <protection locked="0"/>
    </xf>
    <xf numFmtId="0" fontId="0" fillId="12" borderId="13" xfId="0" applyFill="1" applyBorder="1" applyProtection="1">
      <protection locked="0"/>
    </xf>
    <xf numFmtId="0" fontId="0" fillId="12" borderId="12" xfId="0" applyFill="1" applyBorder="1"/>
    <xf numFmtId="0" fontId="0" fillId="0" borderId="7" xfId="0" applyBorder="1"/>
    <xf numFmtId="0" fontId="0" fillId="9" borderId="2" xfId="0" applyFill="1" applyBorder="1" applyAlignment="1" applyProtection="1">
      <alignment horizontal="center"/>
      <protection locked="0"/>
    </xf>
    <xf numFmtId="1" fontId="3" fillId="9" borderId="2" xfId="1" applyNumberFormat="1" applyFill="1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center"/>
      <protection locked="0"/>
    </xf>
    <xf numFmtId="165" fontId="3" fillId="7" borderId="2" xfId="1" applyNumberFormat="1" applyFill="1" applyBorder="1" applyAlignment="1" applyProtection="1">
      <alignment horizontal="center"/>
      <protection locked="0"/>
    </xf>
    <xf numFmtId="165" fontId="3" fillId="7" borderId="1" xfId="1" applyNumberFormat="1" applyFill="1" applyBorder="1" applyAlignment="1" applyProtection="1">
      <alignment horizontal="center"/>
      <protection locked="0"/>
    </xf>
    <xf numFmtId="165" fontId="3" fillId="7" borderId="6" xfId="1" applyNumberFormat="1" applyFill="1" applyBorder="1" applyAlignment="1" applyProtection="1">
      <alignment horizontal="center"/>
      <protection locked="0"/>
    </xf>
    <xf numFmtId="165" fontId="3" fillId="7" borderId="3" xfId="1" applyNumberFormat="1" applyFill="1" applyBorder="1" applyAlignment="1" applyProtection="1">
      <alignment horizontal="center"/>
      <protection locked="0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7" borderId="17" xfId="0" applyFill="1" applyBorder="1"/>
    <xf numFmtId="165" fontId="3" fillId="0" borderId="17" xfId="1" applyNumberFormat="1" applyBorder="1"/>
    <xf numFmtId="165" fontId="3" fillId="0" borderId="0" xfId="1" applyNumberFormat="1" applyBorder="1"/>
    <xf numFmtId="165" fontId="0" fillId="0" borderId="17" xfId="1" applyNumberFormat="1" applyFont="1" applyBorder="1"/>
    <xf numFmtId="165" fontId="0" fillId="0" borderId="0" xfId="1" applyNumberFormat="1" applyFont="1" applyBorder="1"/>
    <xf numFmtId="165" fontId="0" fillId="0" borderId="17" xfId="0" applyNumberFormat="1" applyBorder="1"/>
    <xf numFmtId="10" fontId="0" fillId="0" borderId="17" xfId="3" applyNumberFormat="1" applyFont="1" applyBorder="1"/>
    <xf numFmtId="10" fontId="0" fillId="0" borderId="0" xfId="3" applyNumberFormat="1" applyFont="1" applyBorder="1"/>
    <xf numFmtId="164" fontId="3" fillId="0" borderId="17" xfId="1" applyNumberFormat="1" applyBorder="1"/>
    <xf numFmtId="165" fontId="4" fillId="0" borderId="0" xfId="0" applyNumberFormat="1" applyFont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14" fillId="0" borderId="0" xfId="0" applyFont="1"/>
    <xf numFmtId="165" fontId="3" fillId="8" borderId="2" xfId="1" applyNumberFormat="1" applyFill="1" applyBorder="1" applyAlignment="1"/>
    <xf numFmtId="165" fontId="3" fillId="8" borderId="1" xfId="1" applyNumberFormat="1" applyFill="1" applyBorder="1" applyAlignment="1">
      <alignment wrapText="1"/>
    </xf>
    <xf numFmtId="165" fontId="3" fillId="8" borderId="3" xfId="1" applyNumberFormat="1" applyFill="1" applyBorder="1" applyAlignment="1">
      <alignment wrapText="1"/>
    </xf>
    <xf numFmtId="165" fontId="3" fillId="8" borderId="6" xfId="1" applyNumberFormat="1" applyFill="1" applyBorder="1" applyAlignment="1">
      <alignment wrapText="1"/>
    </xf>
    <xf numFmtId="165" fontId="3" fillId="7" borderId="2" xfId="1" applyNumberFormat="1" applyFill="1" applyBorder="1" applyAlignment="1" applyProtection="1">
      <protection locked="0"/>
    </xf>
    <xf numFmtId="165" fontId="13" fillId="9" borderId="2" xfId="1" applyNumberFormat="1" applyFont="1" applyFill="1" applyBorder="1"/>
    <xf numFmtId="0" fontId="13" fillId="9" borderId="2" xfId="0" applyFont="1" applyFill="1" applyBorder="1" applyAlignment="1" applyProtection="1">
      <alignment horizontal="center"/>
      <protection locked="0"/>
    </xf>
    <xf numFmtId="165" fontId="13" fillId="9" borderId="2" xfId="1" applyNumberFormat="1" applyFont="1" applyFill="1" applyBorder="1" applyAlignment="1">
      <alignment horizontal="center"/>
    </xf>
    <xf numFmtId="1" fontId="13" fillId="9" borderId="2" xfId="1" applyNumberFormat="1" applyFont="1" applyFill="1" applyBorder="1" applyAlignment="1" applyProtection="1">
      <alignment horizontal="center"/>
      <protection locked="0"/>
    </xf>
    <xf numFmtId="0" fontId="0" fillId="10" borderId="0" xfId="0" applyFill="1" applyAlignment="1">
      <alignment wrapText="1"/>
    </xf>
    <xf numFmtId="16" fontId="0" fillId="0" borderId="0" xfId="0" quotePrefix="1" applyNumberFormat="1" applyAlignment="1">
      <alignment horizontal="left"/>
    </xf>
    <xf numFmtId="0" fontId="0" fillId="0" borderId="0" xfId="0" quotePrefix="1" applyAlignment="1">
      <alignment horizontal="left"/>
    </xf>
    <xf numFmtId="0" fontId="0" fillId="4" borderId="0" xfId="0" applyFill="1"/>
    <xf numFmtId="165" fontId="3" fillId="4" borderId="0" xfId="1" applyNumberFormat="1" applyFill="1" applyBorder="1"/>
    <xf numFmtId="165" fontId="3" fillId="2" borderId="0" xfId="1" applyNumberFormat="1" applyFill="1" applyBorder="1"/>
    <xf numFmtId="0" fontId="0" fillId="2" borderId="0" xfId="0" applyFill="1"/>
    <xf numFmtId="165" fontId="0" fillId="0" borderId="20" xfId="0" applyNumberFormat="1" applyBorder="1"/>
    <xf numFmtId="0" fontId="0" fillId="15" borderId="0" xfId="0" applyFill="1"/>
    <xf numFmtId="165" fontId="3" fillId="15" borderId="2" xfId="1" applyNumberFormat="1" applyFill="1" applyBorder="1"/>
    <xf numFmtId="165" fontId="0" fillId="7" borderId="0" xfId="1" applyNumberFormat="1" applyFont="1" applyFill="1" applyBorder="1"/>
    <xf numFmtId="0" fontId="6" fillId="0" borderId="2" xfId="0" applyFont="1" applyBorder="1" applyAlignment="1">
      <alignment horizontal="center" vertical="center" textRotation="90"/>
    </xf>
    <xf numFmtId="0" fontId="0" fillId="7" borderId="21" xfId="0" applyFill="1" applyBorder="1"/>
    <xf numFmtId="0" fontId="0" fillId="0" borderId="22" xfId="0" applyBorder="1"/>
    <xf numFmtId="0" fontId="0" fillId="0" borderId="23" xfId="0" applyBorder="1"/>
    <xf numFmtId="0" fontId="0" fillId="7" borderId="24" xfId="0" applyFill="1" applyBorder="1"/>
    <xf numFmtId="165" fontId="0" fillId="16" borderId="0" xfId="1" applyNumberFormat="1" applyFont="1" applyFill="1" applyBorder="1"/>
    <xf numFmtId="43" fontId="3" fillId="5" borderId="0" xfId="1" applyFill="1"/>
    <xf numFmtId="14" fontId="0" fillId="7" borderId="0" xfId="0" applyNumberFormat="1" applyFill="1"/>
    <xf numFmtId="6" fontId="0" fillId="0" borderId="0" xfId="0" applyNumberFormat="1"/>
    <xf numFmtId="8" fontId="0" fillId="0" borderId="0" xfId="0" applyNumberFormat="1"/>
    <xf numFmtId="2" fontId="0" fillId="0" borderId="0" xfId="0" applyNumberFormat="1"/>
    <xf numFmtId="2" fontId="8" fillId="0" borderId="0" xfId="0" applyNumberFormat="1" applyFont="1"/>
    <xf numFmtId="165" fontId="3" fillId="8" borderId="2" xfId="1" applyNumberFormat="1" applyFill="1" applyBorder="1" applyAlignment="1">
      <alignment horizontal="center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3" xfId="0" applyFill="1" applyBorder="1" applyAlignment="1" applyProtection="1">
      <alignment horizontal="center"/>
      <protection locked="0"/>
    </xf>
    <xf numFmtId="0" fontId="0" fillId="7" borderId="6" xfId="0" applyFill="1" applyBorder="1" applyAlignment="1" applyProtection="1">
      <alignment horizontal="center"/>
      <protection locked="0"/>
    </xf>
    <xf numFmtId="165" fontId="3" fillId="7" borderId="1" xfId="1" applyNumberFormat="1" applyFill="1" applyBorder="1" applyAlignment="1" applyProtection="1">
      <alignment horizontal="center"/>
      <protection locked="0"/>
    </xf>
    <xf numFmtId="165" fontId="3" fillId="7" borderId="3" xfId="1" applyNumberFormat="1" applyFill="1" applyBorder="1" applyAlignment="1" applyProtection="1">
      <alignment horizontal="center"/>
      <protection locked="0"/>
    </xf>
    <xf numFmtId="165" fontId="3" fillId="7" borderId="6" xfId="1" applyNumberFormat="1" applyFill="1" applyBorder="1" applyAlignment="1" applyProtection="1">
      <alignment horizontal="center"/>
      <protection locked="0"/>
    </xf>
    <xf numFmtId="165" fontId="3" fillId="7" borderId="2" xfId="1" applyNumberFormat="1" applyFill="1" applyBorder="1" applyAlignment="1" applyProtection="1">
      <alignment horizontal="center"/>
      <protection locked="0"/>
    </xf>
    <xf numFmtId="165" fontId="3" fillId="8" borderId="1" xfId="1" applyNumberFormat="1" applyFill="1" applyBorder="1" applyAlignment="1">
      <alignment horizontal="center"/>
    </xf>
    <xf numFmtId="165" fontId="3" fillId="8" borderId="3" xfId="1" applyNumberFormat="1" applyFill="1" applyBorder="1" applyAlignment="1">
      <alignment horizontal="center"/>
    </xf>
    <xf numFmtId="165" fontId="3" fillId="8" borderId="6" xfId="1" applyNumberFormat="1" applyFill="1" applyBorder="1" applyAlignment="1">
      <alignment horizontal="center"/>
    </xf>
    <xf numFmtId="165" fontId="3" fillId="8" borderId="1" xfId="1" applyNumberFormat="1" applyFill="1" applyBorder="1" applyAlignment="1" applyProtection="1">
      <alignment horizontal="center"/>
      <protection hidden="1"/>
    </xf>
    <xf numFmtId="165" fontId="3" fillId="8" borderId="3" xfId="1" applyNumberFormat="1" applyFill="1" applyBorder="1" applyAlignment="1" applyProtection="1">
      <alignment horizontal="center"/>
      <protection hidden="1"/>
    </xf>
    <xf numFmtId="165" fontId="3" fillId="8" borderId="6" xfId="1" applyNumberFormat="1" applyFill="1" applyBorder="1" applyAlignment="1" applyProtection="1">
      <alignment horizontal="center"/>
      <protection hidden="1"/>
    </xf>
    <xf numFmtId="0" fontId="0" fillId="5" borderId="1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49" fontId="0" fillId="7" borderId="3" xfId="0" applyNumberFormat="1" applyFill="1" applyBorder="1" applyAlignment="1" applyProtection="1">
      <alignment horizontal="left"/>
      <protection locked="0"/>
    </xf>
    <xf numFmtId="49" fontId="0" fillId="7" borderId="6" xfId="0" applyNumberFormat="1" applyFill="1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49" fontId="0" fillId="7" borderId="1" xfId="0" applyNumberFormat="1" applyFill="1" applyBorder="1" applyAlignment="1" applyProtection="1">
      <alignment horizontal="left"/>
      <protection locked="0"/>
    </xf>
    <xf numFmtId="0" fontId="0" fillId="5" borderId="1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0" fillId="5" borderId="6" xfId="0" applyFill="1" applyBorder="1" applyAlignment="1">
      <alignment horizontal="left"/>
    </xf>
    <xf numFmtId="49" fontId="0" fillId="7" borderId="9" xfId="0" applyNumberFormat="1" applyFill="1" applyBorder="1" applyAlignment="1" applyProtection="1">
      <alignment horizontal="left"/>
      <protection locked="0"/>
    </xf>
    <xf numFmtId="165" fontId="3" fillId="7" borderId="1" xfId="1" applyNumberFormat="1" applyFill="1" applyBorder="1" applyAlignment="1" applyProtection="1">
      <alignment horizontal="left"/>
      <protection locked="0"/>
    </xf>
    <xf numFmtId="165" fontId="3" fillId="7" borderId="6" xfId="1" applyNumberFormat="1" applyFill="1" applyBorder="1" applyAlignment="1" applyProtection="1">
      <alignment horizontal="left"/>
      <protection locked="0"/>
    </xf>
    <xf numFmtId="0" fontId="0" fillId="7" borderId="2" xfId="0" applyFill="1" applyBorder="1" applyAlignment="1" applyProtection="1">
      <alignment horizontal="left"/>
      <protection locked="0"/>
    </xf>
    <xf numFmtId="0" fontId="0" fillId="5" borderId="25" xfId="0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3" fillId="5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6" fontId="4" fillId="12" borderId="11" xfId="2" applyNumberFormat="1" applyFont="1" applyFill="1" applyBorder="1" applyAlignment="1">
      <alignment horizontal="center"/>
    </xf>
    <xf numFmtId="166" fontId="4" fillId="12" borderId="12" xfId="2" applyNumberFormat="1" applyFont="1" applyFill="1" applyBorder="1" applyAlignment="1">
      <alignment horizontal="center"/>
    </xf>
    <xf numFmtId="166" fontId="4" fillId="12" borderId="13" xfId="2" applyNumberFormat="1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5" borderId="2" xfId="0" applyFill="1" applyBorder="1" applyAlignment="1">
      <alignment horizontal="center"/>
    </xf>
    <xf numFmtId="14" fontId="5" fillId="0" borderId="0" xfId="0" applyNumberFormat="1" applyFont="1" applyAlignment="1">
      <alignment horizontal="center"/>
    </xf>
    <xf numFmtId="14" fontId="5" fillId="0" borderId="18" xfId="0" applyNumberFormat="1" applyFont="1" applyBorder="1" applyAlignment="1">
      <alignment horizontal="center"/>
    </xf>
    <xf numFmtId="166" fontId="3" fillId="12" borderId="11" xfId="1" applyNumberFormat="1" applyFont="1" applyFill="1" applyBorder="1" applyAlignment="1">
      <alignment horizontal="center"/>
    </xf>
    <xf numFmtId="166" fontId="3" fillId="12" borderId="12" xfId="1" applyNumberFormat="1" applyFont="1" applyFill="1" applyBorder="1" applyAlignment="1">
      <alignment horizontal="center"/>
    </xf>
    <xf numFmtId="166" fontId="3" fillId="12" borderId="13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12" borderId="11" xfId="0" applyFill="1" applyBorder="1" applyAlignment="1" applyProtection="1">
      <alignment horizontal="center"/>
      <protection locked="0"/>
    </xf>
    <xf numFmtId="0" fontId="0" fillId="12" borderId="12" xfId="0" applyFill="1" applyBorder="1" applyAlignment="1" applyProtection="1">
      <alignment horizontal="center"/>
      <protection locked="0"/>
    </xf>
    <xf numFmtId="0" fontId="0" fillId="12" borderId="13" xfId="0" applyFill="1" applyBorder="1" applyAlignment="1" applyProtection="1">
      <alignment horizontal="center"/>
      <protection locked="0"/>
    </xf>
    <xf numFmtId="165" fontId="0" fillId="7" borderId="2" xfId="1" applyNumberFormat="1" applyFont="1" applyFill="1" applyBorder="1" applyAlignment="1" applyProtection="1">
      <alignment horizontal="center"/>
      <protection locked="0"/>
    </xf>
    <xf numFmtId="165" fontId="0" fillId="7" borderId="1" xfId="1" applyNumberFormat="1" applyFont="1" applyFill="1" applyBorder="1" applyAlignment="1" applyProtection="1">
      <alignment horizontal="center"/>
      <protection locked="0"/>
    </xf>
    <xf numFmtId="165" fontId="0" fillId="7" borderId="3" xfId="1" applyNumberFormat="1" applyFont="1" applyFill="1" applyBorder="1" applyAlignment="1" applyProtection="1">
      <alignment horizontal="center"/>
      <protection locked="0"/>
    </xf>
    <xf numFmtId="165" fontId="0" fillId="7" borderId="6" xfId="1" applyNumberFormat="1" applyFont="1" applyFill="1" applyBorder="1" applyAlignment="1" applyProtection="1">
      <alignment horizontal="center"/>
      <protection locked="0"/>
    </xf>
    <xf numFmtId="165" fontId="3" fillId="9" borderId="1" xfId="1" applyNumberFormat="1" applyFill="1" applyBorder="1" applyAlignment="1">
      <alignment horizontal="center"/>
    </xf>
    <xf numFmtId="165" fontId="3" fillId="9" borderId="6" xfId="1" applyNumberFormat="1" applyFill="1" applyBorder="1" applyAlignment="1">
      <alignment horizontal="center"/>
    </xf>
    <xf numFmtId="165" fontId="11" fillId="11" borderId="2" xfId="1" applyNumberFormat="1" applyFont="1" applyFill="1" applyBorder="1" applyAlignment="1">
      <alignment horizontal="center"/>
    </xf>
    <xf numFmtId="165" fontId="3" fillId="10" borderId="2" xfId="1" applyNumberFormat="1" applyFill="1" applyBorder="1" applyAlignment="1">
      <alignment horizontal="center"/>
    </xf>
    <xf numFmtId="165" fontId="10" fillId="8" borderId="2" xfId="1" applyNumberFormat="1" applyFont="1" applyFill="1" applyBorder="1" applyAlignment="1">
      <alignment horizontal="center"/>
    </xf>
    <xf numFmtId="0" fontId="13" fillId="5" borderId="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165" fontId="3" fillId="9" borderId="1" xfId="1" applyNumberFormat="1" applyFill="1" applyBorder="1" applyAlignment="1">
      <alignment horizontal="left"/>
    </xf>
    <xf numFmtId="165" fontId="3" fillId="9" borderId="3" xfId="1" applyNumberFormat="1" applyFill="1" applyBorder="1" applyAlignment="1">
      <alignment horizontal="left"/>
    </xf>
    <xf numFmtId="165" fontId="3" fillId="9" borderId="6" xfId="1" applyNumberFormat="1" applyFill="1" applyBorder="1" applyAlignment="1">
      <alignment horizontal="left"/>
    </xf>
    <xf numFmtId="43" fontId="3" fillId="9" borderId="1" xfId="1" applyFill="1" applyBorder="1" applyAlignment="1">
      <alignment horizontal="left"/>
    </xf>
    <xf numFmtId="43" fontId="3" fillId="9" borderId="3" xfId="1" applyFill="1" applyBorder="1" applyAlignment="1">
      <alignment horizontal="left"/>
    </xf>
    <xf numFmtId="43" fontId="3" fillId="9" borderId="6" xfId="1" applyFill="1" applyBorder="1" applyAlignment="1">
      <alignment horizontal="left"/>
    </xf>
    <xf numFmtId="9" fontId="3" fillId="7" borderId="1" xfId="3" applyFill="1" applyBorder="1" applyAlignment="1" applyProtection="1">
      <alignment horizontal="center"/>
      <protection locked="0"/>
    </xf>
    <xf numFmtId="9" fontId="3" fillId="7" borderId="6" xfId="3" applyFill="1" applyBorder="1" applyAlignment="1" applyProtection="1">
      <alignment horizontal="center"/>
      <protection locked="0"/>
    </xf>
    <xf numFmtId="0" fontId="12" fillId="0" borderId="5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 wrapText="1"/>
    </xf>
    <xf numFmtId="0" fontId="0" fillId="0" borderId="0" xfId="0" applyAlignment="1">
      <alignment horizontal="left" wrapText="1"/>
    </xf>
    <xf numFmtId="165" fontId="0" fillId="9" borderId="2" xfId="0" applyNumberFormat="1" applyFill="1" applyBorder="1" applyAlignment="1">
      <alignment horizontal="center"/>
    </xf>
    <xf numFmtId="165" fontId="3" fillId="7" borderId="1" xfId="1" applyNumberFormat="1" applyFont="1" applyFill="1" applyBorder="1" applyAlignment="1" applyProtection="1">
      <alignment horizontal="center"/>
      <protection locked="0"/>
    </xf>
    <xf numFmtId="165" fontId="3" fillId="7" borderId="6" xfId="1" applyNumberFormat="1" applyFont="1" applyFill="1" applyBorder="1" applyAlignment="1" applyProtection="1">
      <alignment horizontal="center"/>
      <protection locked="0"/>
    </xf>
    <xf numFmtId="165" fontId="3" fillId="8" borderId="1" xfId="1" applyNumberFormat="1" applyFill="1" applyBorder="1" applyAlignment="1">
      <alignment horizontal="right"/>
    </xf>
    <xf numFmtId="165" fontId="3" fillId="8" borderId="3" xfId="1" applyNumberFormat="1" applyFill="1" applyBorder="1" applyAlignment="1">
      <alignment horizontal="right"/>
    </xf>
    <xf numFmtId="165" fontId="3" fillId="8" borderId="6" xfId="1" applyNumberFormat="1" applyFill="1" applyBorder="1" applyAlignment="1">
      <alignment horizontal="right"/>
    </xf>
    <xf numFmtId="165" fontId="13" fillId="8" borderId="1" xfId="1" applyNumberFormat="1" applyFont="1" applyFill="1" applyBorder="1" applyAlignment="1">
      <alignment horizontal="center"/>
    </xf>
    <xf numFmtId="165" fontId="13" fillId="8" borderId="6" xfId="1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165" fontId="0" fillId="11" borderId="2" xfId="0" applyNumberFormat="1" applyFill="1" applyBorder="1" applyAlignment="1">
      <alignment horizontal="center"/>
    </xf>
    <xf numFmtId="165" fontId="0" fillId="10" borderId="2" xfId="0" applyNumberFormat="1" applyFill="1" applyBorder="1" applyAlignment="1">
      <alignment horizontal="center"/>
    </xf>
    <xf numFmtId="165" fontId="0" fillId="7" borderId="2" xfId="0" applyNumberFormat="1" applyFill="1" applyBorder="1" applyAlignment="1" applyProtection="1">
      <alignment horizontal="center"/>
      <protection locked="0"/>
    </xf>
    <xf numFmtId="0" fontId="0" fillId="0" borderId="2" xfId="0" quotePrefix="1" applyBorder="1" applyAlignment="1">
      <alignment horizontal="left"/>
    </xf>
    <xf numFmtId="0" fontId="0" fillId="0" borderId="2" xfId="0" applyBorder="1" applyAlignment="1">
      <alignment horizontal="left"/>
    </xf>
    <xf numFmtId="165" fontId="3" fillId="9" borderId="2" xfId="1" applyNumberFormat="1" applyFill="1" applyBorder="1" applyAlignment="1" applyProtection="1">
      <alignment horizontal="center"/>
      <protection locked="0"/>
    </xf>
    <xf numFmtId="165" fontId="3" fillId="8" borderId="1" xfId="1" applyNumberFormat="1" applyFill="1" applyBorder="1" applyAlignment="1">
      <alignment horizontal="center" wrapText="1"/>
    </xf>
    <xf numFmtId="165" fontId="3" fillId="8" borderId="3" xfId="1" applyNumberFormat="1" applyFill="1" applyBorder="1" applyAlignment="1">
      <alignment horizontal="center" wrapText="1"/>
    </xf>
    <xf numFmtId="165" fontId="3" fillId="8" borderId="6" xfId="1" applyNumberFormat="1" applyFill="1" applyBorder="1" applyAlignment="1">
      <alignment horizontal="center" wrapText="1"/>
    </xf>
    <xf numFmtId="0" fontId="0" fillId="9" borderId="1" xfId="0" applyFill="1" applyBorder="1" applyAlignment="1" applyProtection="1">
      <alignment horizontal="left"/>
      <protection locked="0"/>
    </xf>
    <xf numFmtId="0" fontId="0" fillId="9" borderId="3" xfId="0" applyFill="1" applyBorder="1" applyAlignment="1" applyProtection="1">
      <alignment horizontal="left"/>
      <protection locked="0"/>
    </xf>
    <xf numFmtId="0" fontId="0" fillId="9" borderId="6" xfId="0" applyFill="1" applyBorder="1" applyAlignment="1" applyProtection="1">
      <alignment horizontal="left"/>
      <protection locked="0"/>
    </xf>
    <xf numFmtId="165" fontId="3" fillId="9" borderId="1" xfId="1" applyNumberFormat="1" applyFill="1" applyBorder="1" applyAlignment="1" applyProtection="1">
      <alignment horizontal="left"/>
      <protection locked="0"/>
    </xf>
    <xf numFmtId="165" fontId="3" fillId="9" borderId="6" xfId="1" applyNumberFormat="1" applyFill="1" applyBorder="1" applyAlignment="1" applyProtection="1">
      <alignment horizontal="left"/>
      <protection locked="0"/>
    </xf>
    <xf numFmtId="0" fontId="0" fillId="9" borderId="1" xfId="0" quotePrefix="1" applyFill="1" applyBorder="1" applyAlignment="1" applyProtection="1">
      <alignment horizontal="left"/>
      <protection locked="0"/>
    </xf>
    <xf numFmtId="0" fontId="0" fillId="5" borderId="8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49" fontId="0" fillId="0" borderId="2" xfId="0" applyNumberFormat="1" applyBorder="1" applyAlignment="1">
      <alignment horizontal="left"/>
    </xf>
    <xf numFmtId="166" fontId="3" fillId="12" borderId="11" xfId="2" applyNumberFormat="1" applyFill="1" applyBorder="1" applyAlignment="1">
      <alignment horizontal="center"/>
    </xf>
    <xf numFmtId="166" fontId="3" fillId="12" borderId="12" xfId="2" applyNumberFormat="1" applyFill="1" applyBorder="1" applyAlignment="1">
      <alignment horizontal="center"/>
    </xf>
    <xf numFmtId="166" fontId="3" fillId="12" borderId="13" xfId="2" applyNumberFormat="1" applyFill="1" applyBorder="1" applyAlignment="1">
      <alignment horizontal="center"/>
    </xf>
    <xf numFmtId="166" fontId="3" fillId="12" borderId="11" xfId="1" applyNumberFormat="1" applyFill="1" applyBorder="1" applyAlignment="1">
      <alignment horizontal="center"/>
    </xf>
    <xf numFmtId="166" fontId="3" fillId="12" borderId="12" xfId="1" applyNumberFormat="1" applyFill="1" applyBorder="1" applyAlignment="1">
      <alignment horizontal="center"/>
    </xf>
    <xf numFmtId="166" fontId="3" fillId="12" borderId="13" xfId="1" applyNumberFormat="1" applyFill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0" fillId="17" borderId="2" xfId="0" applyFill="1" applyBorder="1" applyProtection="1">
      <protection locked="0"/>
    </xf>
    <xf numFmtId="0" fontId="0" fillId="17" borderId="0" xfId="0" applyFill="1"/>
    <xf numFmtId="0" fontId="16" fillId="17" borderId="0" xfId="0" applyFont="1" applyFill="1" applyAlignment="1">
      <alignment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ill>
        <patternFill>
          <bgColor rgb="FFFF6969"/>
        </patternFill>
      </fill>
    </dxf>
    <dxf>
      <fill>
        <patternFill>
          <bgColor rgb="FF00F60B"/>
        </patternFill>
      </fill>
    </dxf>
    <dxf>
      <font>
        <color rgb="FF006100"/>
      </font>
      <fill>
        <patternFill>
          <bgColor rgb="FF00F66F"/>
        </patternFill>
      </fill>
    </dxf>
    <dxf>
      <fill>
        <patternFill>
          <bgColor rgb="FFFF5757"/>
        </patternFill>
      </fill>
    </dxf>
  </dxfs>
  <tableStyles count="0" defaultTableStyle="TableStyleMedium2" defaultPivotStyle="PivotStyleLight16"/>
  <colors>
    <mruColors>
      <color rgb="FFFF6969"/>
      <color rgb="FFFF5757"/>
      <color rgb="FF00F60B"/>
      <color rgb="FFFF1919"/>
      <color rgb="FFFF3300"/>
      <color rgb="FF00F6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ichard McKay" id="{37252485-FCDB-4A1B-B9A9-8EACE10555D2}" userId="S::rmckay@mckaytax.com::001b8584-b793-4083-83c8-60b12b040b36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6-01-06T20:15:20.55" personId="{37252485-FCDB-4A1B-B9A9-8EACE10555D2}" id="{4786CED1-4725-476D-B88D-801660ABF241}">
    <text>guess</text>
  </threadedComment>
  <threadedComment ref="B8" dT="2026-01-06T20:15:38.11" personId="{37252485-FCDB-4A1B-B9A9-8EACE10555D2}" id="{AA5A6415-C66E-457E-A7D8-48CB55E4BCD1}">
    <text>Guess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158"/>
  <sheetViews>
    <sheetView tabSelected="1" workbookViewId="0">
      <pane ySplit="10" topLeftCell="A11" activePane="bottomLeft" state="frozen"/>
      <selection activeCell="AA19" sqref="AA19"/>
      <selection pane="bottomLeft" activeCell="S121" sqref="S121:U121"/>
    </sheetView>
  </sheetViews>
  <sheetFormatPr defaultRowHeight="15"/>
  <cols>
    <col min="1" max="1" width="4.85546875" customWidth="1"/>
    <col min="2" max="2" width="4.28515625" customWidth="1"/>
    <col min="3" max="5" width="4.5703125" customWidth="1"/>
    <col min="6" max="7" width="4.85546875" customWidth="1"/>
    <col min="8" max="8" width="6.140625" customWidth="1"/>
    <col min="9" max="9" width="4" customWidth="1"/>
    <col min="10" max="10" width="4.28515625" customWidth="1"/>
    <col min="11" max="11" width="6.28515625" customWidth="1"/>
    <col min="12" max="12" width="7.42578125" customWidth="1"/>
    <col min="13" max="13" width="5.85546875" customWidth="1"/>
    <col min="14" max="14" width="5.28515625" customWidth="1"/>
    <col min="15" max="15" width="4.85546875" customWidth="1"/>
    <col min="16" max="16" width="4.42578125" customWidth="1"/>
    <col min="17" max="17" width="5" customWidth="1"/>
    <col min="18" max="18" width="5.28515625" customWidth="1"/>
    <col min="19" max="19" width="4" customWidth="1"/>
    <col min="20" max="20" width="3.140625" customWidth="1"/>
    <col min="21" max="21" width="4" customWidth="1"/>
    <col min="22" max="22" width="2.85546875" customWidth="1"/>
    <col min="24" max="24" width="9.7109375" bestFit="1" customWidth="1"/>
  </cols>
  <sheetData>
    <row r="1" spans="1:24" ht="27.75" customHeight="1" thickBot="1">
      <c r="A1" s="196" t="s">
        <v>560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</row>
    <row r="2" spans="1:24" ht="18.75" customHeight="1" thickBot="1">
      <c r="A2" s="205">
        <v>44940</v>
      </c>
      <c r="B2" s="206"/>
      <c r="C2" s="211" t="s">
        <v>231</v>
      </c>
      <c r="D2" s="212"/>
      <c r="E2" s="212"/>
      <c r="F2" s="212"/>
      <c r="G2" s="212"/>
      <c r="H2" s="213"/>
      <c r="I2" s="199">
        <f>IF(S126&gt;0,S126,-S127)</f>
        <v>0</v>
      </c>
      <c r="J2" s="200"/>
      <c r="K2" s="201"/>
      <c r="L2" s="87"/>
      <c r="M2" s="92" t="s">
        <v>232</v>
      </c>
      <c r="N2" s="95"/>
      <c r="O2" s="93"/>
      <c r="P2" s="93"/>
      <c r="Q2" s="93"/>
      <c r="R2" s="94"/>
      <c r="S2" s="207">
        <f>IF(S157&gt;0,-S157,S158)</f>
        <v>0</v>
      </c>
      <c r="T2" s="208"/>
      <c r="U2" s="209"/>
    </row>
    <row r="3" spans="1:24">
      <c r="A3" s="202" t="s">
        <v>3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96" t="s">
        <v>206</v>
      </c>
      <c r="S3" s="210"/>
      <c r="T3" s="210"/>
      <c r="U3" s="210"/>
    </row>
    <row r="4" spans="1:24">
      <c r="A4" s="1" t="s">
        <v>0</v>
      </c>
      <c r="B4" s="3"/>
      <c r="C4" s="3"/>
      <c r="D4" s="3"/>
      <c r="E4" s="175"/>
      <c r="F4" s="172"/>
      <c r="G4" s="172"/>
      <c r="H4" s="173"/>
      <c r="I4" s="174" t="s">
        <v>2</v>
      </c>
      <c r="J4" s="174"/>
      <c r="K4" s="174"/>
      <c r="L4" s="172"/>
      <c r="M4" s="172"/>
      <c r="N4" s="172"/>
      <c r="O4" s="173"/>
      <c r="P4" s="79"/>
      <c r="Q4" s="204" t="s">
        <v>259</v>
      </c>
      <c r="R4" s="204"/>
      <c r="S4" s="204"/>
      <c r="T4" s="204"/>
      <c r="U4" s="63"/>
    </row>
    <row r="5" spans="1:24">
      <c r="A5" s="1" t="s">
        <v>1</v>
      </c>
      <c r="B5" s="3"/>
      <c r="C5" s="3"/>
      <c r="D5" s="3"/>
      <c r="E5" s="175"/>
      <c r="F5" s="172"/>
      <c r="G5" s="172"/>
      <c r="H5" s="173"/>
      <c r="I5" s="174" t="s">
        <v>2</v>
      </c>
      <c r="J5" s="174"/>
      <c r="K5" s="174"/>
      <c r="L5" s="175"/>
      <c r="M5" s="172"/>
      <c r="N5" s="172"/>
      <c r="O5" s="173"/>
      <c r="P5" s="79"/>
      <c r="Q5" s="204" t="s">
        <v>260</v>
      </c>
      <c r="R5" s="204"/>
      <c r="S5" s="204"/>
      <c r="T5" s="204"/>
      <c r="U5" s="63"/>
    </row>
    <row r="6" spans="1:24">
      <c r="A6" s="1" t="s">
        <v>4</v>
      </c>
      <c r="B6" s="3"/>
      <c r="C6" s="3"/>
      <c r="D6" s="3"/>
      <c r="E6" s="175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9"/>
      <c r="R6" s="183"/>
      <c r="S6" s="184"/>
      <c r="T6" s="184"/>
      <c r="U6" s="184"/>
    </row>
    <row r="7" spans="1:24">
      <c r="A7" s="1" t="s">
        <v>5</v>
      </c>
      <c r="B7" s="3"/>
      <c r="C7" s="3"/>
      <c r="D7" s="3"/>
      <c r="E7" s="175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85"/>
      <c r="S7" s="186"/>
      <c r="T7" s="186"/>
      <c r="U7" s="186"/>
    </row>
    <row r="8" spans="1:24">
      <c r="A8" s="1" t="s">
        <v>6</v>
      </c>
      <c r="B8" s="3"/>
      <c r="C8" s="3"/>
      <c r="D8" s="3"/>
      <c r="E8" s="3"/>
      <c r="F8" s="3"/>
      <c r="G8" s="3"/>
      <c r="H8" s="3"/>
      <c r="I8" s="3"/>
      <c r="J8" s="4"/>
      <c r="K8" s="4"/>
      <c r="L8" s="4"/>
      <c r="M8" s="4"/>
      <c r="N8" s="4"/>
      <c r="O8" s="4"/>
      <c r="P8" s="4"/>
      <c r="Q8" s="63">
        <v>1</v>
      </c>
      <c r="R8" s="187"/>
      <c r="S8" s="188"/>
      <c r="T8" s="188"/>
      <c r="U8" s="188"/>
    </row>
    <row r="9" spans="1:24">
      <c r="A9" s="176" t="s">
        <v>21</v>
      </c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8"/>
      <c r="Q9" s="63">
        <v>0</v>
      </c>
      <c r="R9" s="189" t="s">
        <v>585</v>
      </c>
      <c r="S9" s="190"/>
      <c r="T9" s="191"/>
      <c r="U9" s="81"/>
    </row>
    <row r="10" spans="1:24" ht="5.25" customHeight="1">
      <c r="J10" s="5"/>
      <c r="K10" s="5"/>
      <c r="L10" s="5"/>
      <c r="M10" s="5"/>
      <c r="N10" s="5"/>
      <c r="O10" s="5"/>
      <c r="P10" s="5"/>
      <c r="Q10" s="5">
        <v>2</v>
      </c>
      <c r="R10" s="5"/>
      <c r="S10" s="5"/>
      <c r="T10" s="5"/>
      <c r="U10" s="5"/>
    </row>
    <row r="11" spans="1:24" ht="51" customHeight="1">
      <c r="A11" s="77" t="s">
        <v>243</v>
      </c>
      <c r="B11" s="77" t="s">
        <v>284</v>
      </c>
      <c r="C11" s="198" t="s">
        <v>8</v>
      </c>
      <c r="D11" s="198"/>
      <c r="E11" s="198"/>
      <c r="F11" s="198"/>
      <c r="G11" s="198"/>
      <c r="H11" s="40" t="s">
        <v>145</v>
      </c>
      <c r="I11" s="41" t="s">
        <v>146</v>
      </c>
      <c r="J11" s="41" t="s">
        <v>278</v>
      </c>
      <c r="K11" s="41" t="s">
        <v>281</v>
      </c>
      <c r="L11" s="41" t="s">
        <v>282</v>
      </c>
      <c r="M11" s="41" t="s">
        <v>283</v>
      </c>
      <c r="N11" s="42" t="s">
        <v>148</v>
      </c>
      <c r="O11" s="195" t="s">
        <v>11</v>
      </c>
      <c r="P11" s="195"/>
      <c r="Q11" s="197" t="s">
        <v>14</v>
      </c>
      <c r="R11" s="197"/>
      <c r="S11" s="169" t="s">
        <v>15</v>
      </c>
      <c r="T11" s="170"/>
      <c r="U11" s="171"/>
    </row>
    <row r="12" spans="1:24">
      <c r="A12" s="63" t="s">
        <v>36</v>
      </c>
      <c r="B12" s="63"/>
      <c r="C12" s="182"/>
      <c r="D12" s="182"/>
      <c r="E12" s="182"/>
      <c r="F12" s="182"/>
      <c r="G12" s="182"/>
      <c r="H12" s="63"/>
      <c r="I12" s="63"/>
      <c r="J12" s="63"/>
      <c r="K12" s="64"/>
      <c r="L12" s="65"/>
      <c r="M12" s="65"/>
      <c r="N12" s="65"/>
      <c r="O12" s="180"/>
      <c r="P12" s="181"/>
      <c r="Q12" s="166">
        <f>IF(withholding!Q4&gt;0,withholding!Q4,0)</f>
        <v>0</v>
      </c>
      <c r="R12" s="168"/>
      <c r="S12" s="166">
        <f>withholding!R4</f>
        <v>0</v>
      </c>
      <c r="T12" s="167"/>
      <c r="U12" s="168"/>
      <c r="X12" t="s">
        <v>24</v>
      </c>
    </row>
    <row r="13" spans="1:24">
      <c r="A13" s="63" t="s">
        <v>36</v>
      </c>
      <c r="B13" s="63" t="s">
        <v>286</v>
      </c>
      <c r="C13" s="182"/>
      <c r="D13" s="182"/>
      <c r="E13" s="182"/>
      <c r="F13" s="182"/>
      <c r="G13" s="182"/>
      <c r="H13" s="63"/>
      <c r="I13" s="63"/>
      <c r="J13" s="63"/>
      <c r="K13" s="64"/>
      <c r="L13" s="65"/>
      <c r="M13" s="65"/>
      <c r="N13" s="65"/>
      <c r="O13" s="180"/>
      <c r="P13" s="181"/>
      <c r="Q13" s="166">
        <f>IF(withholding!Q5&gt;0,withholding!Q5,0)</f>
        <v>0</v>
      </c>
      <c r="R13" s="168"/>
      <c r="S13" s="166">
        <f>withholding!R5</f>
        <v>0</v>
      </c>
      <c r="T13" s="167"/>
      <c r="U13" s="168"/>
    </row>
    <row r="14" spans="1:24">
      <c r="A14" s="63"/>
      <c r="B14" s="63"/>
      <c r="C14" s="182"/>
      <c r="D14" s="182"/>
      <c r="E14" s="182"/>
      <c r="F14" s="182"/>
      <c r="G14" s="182"/>
      <c r="H14" s="63"/>
      <c r="I14" s="63"/>
      <c r="J14" s="63"/>
      <c r="K14" s="66"/>
      <c r="L14" s="67"/>
      <c r="M14" s="67"/>
      <c r="N14" s="67"/>
      <c r="O14" s="180"/>
      <c r="P14" s="181"/>
      <c r="Q14" s="166">
        <f>IF(withholding!Q6&gt;0,withholding!Q6,0)</f>
        <v>0</v>
      </c>
      <c r="R14" s="168"/>
      <c r="S14" s="166">
        <f>withholding!R6</f>
        <v>0</v>
      </c>
      <c r="T14" s="167"/>
      <c r="U14" s="168"/>
    </row>
    <row r="15" spans="1:24">
      <c r="A15" s="63"/>
      <c r="B15" s="63"/>
      <c r="C15" s="182"/>
      <c r="D15" s="182"/>
      <c r="E15" s="182"/>
      <c r="F15" s="182"/>
      <c r="G15" s="182"/>
      <c r="H15" s="63"/>
      <c r="I15" s="63"/>
      <c r="J15" s="63"/>
      <c r="K15" s="66"/>
      <c r="L15" s="67"/>
      <c r="M15" s="67"/>
      <c r="N15" s="67"/>
      <c r="O15" s="180"/>
      <c r="P15" s="181"/>
      <c r="Q15" s="166">
        <f>IF(withholding!Q7&gt;0,withholding!Q7,0)</f>
        <v>0</v>
      </c>
      <c r="R15" s="168"/>
      <c r="S15" s="166">
        <f>withholding!R7</f>
        <v>0</v>
      </c>
      <c r="T15" s="167"/>
      <c r="U15" s="168"/>
    </row>
    <row r="16" spans="1:24">
      <c r="A16" s="63"/>
      <c r="B16" s="63"/>
      <c r="C16" s="182"/>
      <c r="D16" s="182"/>
      <c r="E16" s="182"/>
      <c r="F16" s="182"/>
      <c r="G16" s="182"/>
      <c r="H16" s="63"/>
      <c r="I16" s="63"/>
      <c r="J16" s="63"/>
      <c r="K16" s="66"/>
      <c r="L16" s="67"/>
      <c r="M16" s="67"/>
      <c r="N16" s="67"/>
      <c r="O16" s="180"/>
      <c r="P16" s="181"/>
      <c r="Q16" s="166">
        <f>IF(withholding!Q8&gt;0,withholding!Q8,0)</f>
        <v>0</v>
      </c>
      <c r="R16" s="168"/>
      <c r="S16" s="166">
        <f>withholding!R8</f>
        <v>0</v>
      </c>
      <c r="T16" s="167"/>
      <c r="U16" s="168"/>
    </row>
    <row r="17" spans="1:21">
      <c r="A17" s="63"/>
      <c r="B17" s="63"/>
      <c r="C17" s="182"/>
      <c r="D17" s="182"/>
      <c r="E17" s="182"/>
      <c r="F17" s="182"/>
      <c r="G17" s="182"/>
      <c r="H17" s="63"/>
      <c r="I17" s="63"/>
      <c r="J17" s="63"/>
      <c r="K17" s="66"/>
      <c r="L17" s="67"/>
      <c r="M17" s="67"/>
      <c r="N17" s="67"/>
      <c r="O17" s="180"/>
      <c r="P17" s="181"/>
      <c r="Q17" s="166">
        <f>IF(withholding!Q9&gt;0,withholding!Q9,0)</f>
        <v>0</v>
      </c>
      <c r="R17" s="168"/>
      <c r="S17" s="166">
        <f>withholding!R9</f>
        <v>0</v>
      </c>
      <c r="T17" s="167"/>
      <c r="U17" s="168"/>
    </row>
    <row r="18" spans="1:21">
      <c r="A18" s="63"/>
      <c r="B18" s="63"/>
      <c r="C18" s="182"/>
      <c r="D18" s="182"/>
      <c r="E18" s="182"/>
      <c r="F18" s="182"/>
      <c r="G18" s="182"/>
      <c r="H18" s="63"/>
      <c r="I18" s="63"/>
      <c r="J18" s="63"/>
      <c r="K18" s="66"/>
      <c r="L18" s="67"/>
      <c r="M18" s="67"/>
      <c r="N18" s="67"/>
      <c r="O18" s="180">
        <v>0</v>
      </c>
      <c r="P18" s="181"/>
      <c r="Q18" s="166">
        <f>IF(withholding!Q10&gt;0,withholding!Q10,0)</f>
        <v>0</v>
      </c>
      <c r="R18" s="168"/>
      <c r="S18" s="166">
        <f>withholding!R10</f>
        <v>0</v>
      </c>
      <c r="T18" s="167"/>
      <c r="U18" s="168"/>
    </row>
    <row r="19" spans="1:21">
      <c r="A19" s="63"/>
      <c r="B19" s="63"/>
      <c r="C19" s="182"/>
      <c r="D19" s="182"/>
      <c r="E19" s="182"/>
      <c r="F19" s="182"/>
      <c r="G19" s="182"/>
      <c r="H19" s="63"/>
      <c r="I19" s="63"/>
      <c r="J19" s="63"/>
      <c r="K19" s="66"/>
      <c r="L19" s="67"/>
      <c r="M19" s="67"/>
      <c r="N19" s="67"/>
      <c r="O19" s="180">
        <v>0</v>
      </c>
      <c r="P19" s="181"/>
      <c r="Q19" s="166">
        <f>IF(withholding!Q11&gt;0,withholding!Q11,0)</f>
        <v>0</v>
      </c>
      <c r="R19" s="168"/>
      <c r="S19" s="166">
        <f>withholding!R11</f>
        <v>0</v>
      </c>
      <c r="T19" s="167"/>
      <c r="U19" s="168"/>
    </row>
    <row r="20" spans="1:21" ht="9.75" customHeight="1">
      <c r="C20" s="6"/>
      <c r="D20" s="6"/>
      <c r="E20" s="83" t="s">
        <v>276</v>
      </c>
      <c r="F20" s="34"/>
      <c r="G20" s="34"/>
    </row>
    <row r="21" spans="1:21">
      <c r="A21" s="8">
        <v>7</v>
      </c>
      <c r="B21" s="8"/>
      <c r="C21" t="s">
        <v>324</v>
      </c>
      <c r="R21" s="8">
        <v>1</v>
      </c>
      <c r="S21" s="155">
        <f>withholding!T12</f>
        <v>0</v>
      </c>
      <c r="T21" s="155"/>
      <c r="U21" s="155"/>
    </row>
    <row r="22" spans="1:21">
      <c r="A22" s="8">
        <v>7</v>
      </c>
      <c r="B22" s="8"/>
      <c r="C22" t="s">
        <v>325</v>
      </c>
      <c r="R22" s="8">
        <v>1</v>
      </c>
      <c r="S22" s="155">
        <f>withholding!U12</f>
        <v>0</v>
      </c>
      <c r="T22" s="155"/>
      <c r="U22" s="155"/>
    </row>
    <row r="23" spans="1:21">
      <c r="A23" s="8">
        <v>8</v>
      </c>
      <c r="B23" s="8"/>
      <c r="C23" t="s">
        <v>211</v>
      </c>
      <c r="H23" t="s">
        <v>51</v>
      </c>
      <c r="K23" s="162"/>
      <c r="L23" s="162"/>
      <c r="M23" s="8" t="s">
        <v>365</v>
      </c>
      <c r="R23" s="8">
        <v>2</v>
      </c>
      <c r="S23" s="162">
        <v>0</v>
      </c>
      <c r="T23" s="162"/>
      <c r="U23" s="162"/>
    </row>
    <row r="24" spans="1:21">
      <c r="A24" s="8">
        <v>9</v>
      </c>
      <c r="B24" s="8"/>
      <c r="C24" t="s">
        <v>18</v>
      </c>
      <c r="F24" s="162"/>
      <c r="G24" s="162"/>
      <c r="H24" t="s">
        <v>103</v>
      </c>
      <c r="K24" s="162"/>
      <c r="L24" s="162"/>
      <c r="M24" t="s">
        <v>364</v>
      </c>
      <c r="R24" s="8">
        <v>3</v>
      </c>
      <c r="S24" s="155">
        <f>F24</f>
        <v>0</v>
      </c>
      <c r="T24" s="155"/>
      <c r="U24" s="155"/>
    </row>
    <row r="25" spans="1:21">
      <c r="A25" s="8">
        <v>10</v>
      </c>
      <c r="B25" s="8"/>
      <c r="C25" t="s">
        <v>326</v>
      </c>
      <c r="R25" s="133" t="s">
        <v>390</v>
      </c>
      <c r="S25" s="162"/>
      <c r="T25" s="162"/>
      <c r="U25" s="162"/>
    </row>
    <row r="26" spans="1:21">
      <c r="A26" s="8">
        <v>11</v>
      </c>
      <c r="B26" s="8"/>
      <c r="C26" t="s">
        <v>327</v>
      </c>
      <c r="R26" s="134" t="s">
        <v>392</v>
      </c>
      <c r="S26" s="162"/>
      <c r="T26" s="162"/>
      <c r="U26" s="162"/>
    </row>
    <row r="27" spans="1:21" ht="15" customHeight="1">
      <c r="A27" s="8">
        <v>12</v>
      </c>
      <c r="B27" s="8"/>
      <c r="C27" t="s">
        <v>212</v>
      </c>
      <c r="I27" t="s">
        <v>72</v>
      </c>
      <c r="L27" s="215">
        <v>0</v>
      </c>
      <c r="M27" s="161"/>
      <c r="N27" s="234" t="s">
        <v>248</v>
      </c>
      <c r="O27" s="235"/>
      <c r="P27" s="236"/>
      <c r="Q27" s="81"/>
      <c r="R27" s="134" t="s">
        <v>393</v>
      </c>
      <c r="S27" s="162"/>
      <c r="T27" s="162"/>
      <c r="U27" s="162"/>
    </row>
    <row r="28" spans="1:21">
      <c r="A28" s="8">
        <v>12</v>
      </c>
      <c r="B28" s="8"/>
      <c r="C28" t="s">
        <v>49</v>
      </c>
      <c r="I28" t="s">
        <v>72</v>
      </c>
      <c r="L28" s="159">
        <v>0</v>
      </c>
      <c r="M28" s="161"/>
      <c r="N28" s="234"/>
      <c r="O28" s="235"/>
      <c r="P28" s="236"/>
      <c r="Q28" s="81" t="s">
        <v>577</v>
      </c>
      <c r="R28" s="134" t="s">
        <v>393</v>
      </c>
      <c r="S28" s="162">
        <v>0</v>
      </c>
      <c r="T28" s="162"/>
      <c r="U28" s="162"/>
    </row>
    <row r="29" spans="1:21">
      <c r="A29" s="8">
        <v>13</v>
      </c>
      <c r="B29" s="8"/>
      <c r="C29" t="s">
        <v>247</v>
      </c>
      <c r="G29" s="162"/>
      <c r="H29" s="162"/>
      <c r="I29" t="s">
        <v>19</v>
      </c>
      <c r="L29" s="232">
        <v>0.15</v>
      </c>
      <c r="M29" s="233"/>
      <c r="N29" s="21"/>
      <c r="R29" s="8">
        <v>7</v>
      </c>
      <c r="S29" s="155">
        <f>G29</f>
        <v>0</v>
      </c>
      <c r="T29" s="155"/>
      <c r="U29" s="155"/>
    </row>
    <row r="30" spans="1:21">
      <c r="A30" s="8">
        <v>14</v>
      </c>
      <c r="B30" s="8"/>
      <c r="C30" t="s">
        <v>323</v>
      </c>
      <c r="R30" s="134" t="s">
        <v>394</v>
      </c>
      <c r="S30" s="162"/>
      <c r="T30" s="162"/>
      <c r="U30" s="162"/>
    </row>
    <row r="31" spans="1:21" ht="6" customHeight="1">
      <c r="R31" s="8"/>
      <c r="S31" s="6"/>
      <c r="T31" s="6"/>
      <c r="U31" s="6"/>
    </row>
    <row r="32" spans="1:21" ht="60" customHeight="1">
      <c r="A32" s="77" t="s">
        <v>239</v>
      </c>
      <c r="B32" s="77" t="s">
        <v>284</v>
      </c>
      <c r="C32" s="192" t="s">
        <v>454</v>
      </c>
      <c r="D32" s="193"/>
      <c r="E32" s="193"/>
      <c r="F32" s="194"/>
      <c r="G32" s="143" t="s">
        <v>456</v>
      </c>
      <c r="H32" s="40" t="s">
        <v>145</v>
      </c>
      <c r="I32" s="40" t="s">
        <v>146</v>
      </c>
      <c r="J32" s="41" t="s">
        <v>278</v>
      </c>
      <c r="K32" s="41" t="s">
        <v>281</v>
      </c>
      <c r="L32" s="41" t="s">
        <v>282</v>
      </c>
      <c r="M32" s="41" t="s">
        <v>283</v>
      </c>
      <c r="N32" s="42" t="s">
        <v>148</v>
      </c>
      <c r="O32" s="195" t="s">
        <v>11</v>
      </c>
      <c r="P32" s="195"/>
      <c r="Q32" s="195" t="s">
        <v>14</v>
      </c>
      <c r="R32" s="195"/>
      <c r="S32" s="169" t="s">
        <v>15</v>
      </c>
      <c r="T32" s="170"/>
      <c r="U32" s="171"/>
    </row>
    <row r="33" spans="1:21">
      <c r="A33" s="63"/>
      <c r="B33" s="63"/>
      <c r="C33" s="156"/>
      <c r="D33" s="157"/>
      <c r="E33" s="157"/>
      <c r="F33" s="158"/>
      <c r="G33" s="63"/>
      <c r="H33" s="63"/>
      <c r="I33" s="63"/>
      <c r="J33" s="63"/>
      <c r="K33" s="66"/>
      <c r="L33" s="67"/>
      <c r="M33" s="67"/>
      <c r="N33" s="67"/>
      <c r="O33" s="159"/>
      <c r="P33" s="161"/>
      <c r="Q33" s="163">
        <f>withholding!Q44</f>
        <v>0</v>
      </c>
      <c r="R33" s="165"/>
      <c r="S33" s="163">
        <f>withholding!R44</f>
        <v>0</v>
      </c>
      <c r="T33" s="164"/>
      <c r="U33" s="165"/>
    </row>
    <row r="34" spans="1:21">
      <c r="A34" s="63"/>
      <c r="B34" s="63"/>
      <c r="C34" s="156"/>
      <c r="D34" s="157"/>
      <c r="E34" s="157"/>
      <c r="F34" s="158"/>
      <c r="G34" s="63"/>
      <c r="H34" s="63"/>
      <c r="I34" s="63"/>
      <c r="J34" s="63"/>
      <c r="K34" s="66"/>
      <c r="L34" s="67"/>
      <c r="M34" s="67"/>
      <c r="N34" s="67"/>
      <c r="O34" s="159"/>
      <c r="P34" s="161"/>
      <c r="Q34" s="163">
        <f>withholding!Q45</f>
        <v>0</v>
      </c>
      <c r="R34" s="165"/>
      <c r="S34" s="163">
        <f>withholding!R45</f>
        <v>0</v>
      </c>
      <c r="T34" s="164"/>
      <c r="U34" s="165"/>
    </row>
    <row r="35" spans="1:21">
      <c r="A35" s="63"/>
      <c r="B35" s="63"/>
      <c r="C35" s="156"/>
      <c r="D35" s="157"/>
      <c r="E35" s="157"/>
      <c r="F35" s="158"/>
      <c r="G35" s="63"/>
      <c r="H35" s="63"/>
      <c r="I35" s="63"/>
      <c r="J35" s="63"/>
      <c r="K35" s="66"/>
      <c r="L35" s="67"/>
      <c r="M35" s="67"/>
      <c r="N35" s="67"/>
      <c r="O35" s="159"/>
      <c r="P35" s="161"/>
      <c r="Q35" s="163">
        <f>withholding!Q46</f>
        <v>0</v>
      </c>
      <c r="R35" s="165"/>
      <c r="S35" s="163">
        <f>withholding!R46</f>
        <v>0</v>
      </c>
      <c r="T35" s="164"/>
      <c r="U35" s="165"/>
    </row>
    <row r="36" spans="1:21">
      <c r="A36" s="63"/>
      <c r="B36" s="63"/>
      <c r="C36" s="156"/>
      <c r="D36" s="157"/>
      <c r="E36" s="157"/>
      <c r="F36" s="158"/>
      <c r="G36" s="63"/>
      <c r="H36" s="63"/>
      <c r="I36" s="63"/>
      <c r="J36" s="63"/>
      <c r="K36" s="66"/>
      <c r="L36" s="67"/>
      <c r="M36" s="67"/>
      <c r="N36" s="67"/>
      <c r="O36" s="159"/>
      <c r="P36" s="161"/>
      <c r="Q36" s="163">
        <f>withholding!Q47</f>
        <v>0</v>
      </c>
      <c r="R36" s="165"/>
      <c r="S36" s="163">
        <f>withholding!R47</f>
        <v>0</v>
      </c>
      <c r="T36" s="164"/>
      <c r="U36" s="165"/>
    </row>
    <row r="37" spans="1:21">
      <c r="A37" s="63"/>
      <c r="B37" s="63"/>
      <c r="C37" s="156"/>
      <c r="D37" s="157"/>
      <c r="E37" s="157"/>
      <c r="F37" s="158"/>
      <c r="G37" s="63"/>
      <c r="H37" s="63"/>
      <c r="I37" s="63"/>
      <c r="J37" s="63"/>
      <c r="K37" s="66"/>
      <c r="L37" s="67"/>
      <c r="M37" s="67"/>
      <c r="N37" s="67"/>
      <c r="O37" s="159"/>
      <c r="P37" s="161"/>
      <c r="Q37" s="163">
        <f>withholding!Q48</f>
        <v>0</v>
      </c>
      <c r="R37" s="165"/>
      <c r="S37" s="163">
        <f>withholding!R48</f>
        <v>0</v>
      </c>
      <c r="T37" s="164"/>
      <c r="U37" s="165"/>
    </row>
    <row r="38" spans="1:21" ht="3.75" customHeight="1">
      <c r="A38" s="5"/>
      <c r="B38" s="5"/>
      <c r="C38" s="70"/>
      <c r="D38" s="70"/>
      <c r="E38" s="70"/>
      <c r="F38" s="70"/>
      <c r="G38" s="70"/>
      <c r="H38" s="70"/>
      <c r="I38" s="70"/>
      <c r="J38" s="70"/>
      <c r="K38" s="71"/>
      <c r="L38" s="71"/>
      <c r="M38" s="71"/>
      <c r="N38" s="71"/>
      <c r="O38" s="72"/>
      <c r="P38" s="72"/>
      <c r="Q38" s="73"/>
      <c r="R38" s="73"/>
      <c r="S38" s="73"/>
      <c r="T38" s="73"/>
      <c r="U38" s="73"/>
    </row>
    <row r="39" spans="1:21" ht="11.25" customHeight="1">
      <c r="A39" s="11" t="s">
        <v>27</v>
      </c>
      <c r="B39" s="11"/>
    </row>
    <row r="40" spans="1:21">
      <c r="A40" s="8" t="s">
        <v>388</v>
      </c>
      <c r="B40" s="8"/>
      <c r="C40" t="s">
        <v>389</v>
      </c>
      <c r="R40" s="8" t="s">
        <v>388</v>
      </c>
      <c r="S40" s="155">
        <f>withholding!T49</f>
        <v>0</v>
      </c>
      <c r="T40" s="155"/>
      <c r="U40" s="155"/>
    </row>
    <row r="41" spans="1:21">
      <c r="A41" s="8" t="s">
        <v>388</v>
      </c>
      <c r="B41" s="8"/>
      <c r="C41" t="s">
        <v>366</v>
      </c>
      <c r="R41" s="8" t="s">
        <v>388</v>
      </c>
      <c r="S41" s="155">
        <f>withholding!U49</f>
        <v>0</v>
      </c>
      <c r="T41" s="155"/>
      <c r="U41" s="155"/>
    </row>
    <row r="42" spans="1:21" ht="15" customHeight="1">
      <c r="A42" s="134" t="s">
        <v>391</v>
      </c>
      <c r="B42" s="8"/>
      <c r="C42" s="237" t="s">
        <v>328</v>
      </c>
      <c r="D42" s="237"/>
      <c r="E42" s="237"/>
      <c r="F42" s="237"/>
      <c r="G42" s="237"/>
      <c r="H42" s="237"/>
      <c r="I42" s="237"/>
      <c r="J42" s="237"/>
      <c r="K42" s="237"/>
      <c r="L42" s="237"/>
      <c r="M42" s="237"/>
      <c r="N42" s="237"/>
      <c r="O42" s="26"/>
      <c r="P42" s="26"/>
      <c r="Q42" s="81" t="s">
        <v>24</v>
      </c>
      <c r="R42" s="134" t="s">
        <v>391</v>
      </c>
      <c r="S42" s="162"/>
      <c r="T42" s="162"/>
      <c r="U42" s="162"/>
    </row>
    <row r="43" spans="1:21" ht="15" customHeight="1">
      <c r="A43" s="134" t="s">
        <v>391</v>
      </c>
      <c r="B43" s="8"/>
      <c r="C43" s="237" t="s">
        <v>268</v>
      </c>
      <c r="D43" s="237"/>
      <c r="E43" s="237"/>
      <c r="F43" s="237"/>
      <c r="G43" s="237"/>
      <c r="H43" s="237"/>
      <c r="I43" s="237"/>
      <c r="J43" s="80"/>
      <c r="K43" t="s">
        <v>248</v>
      </c>
      <c r="Q43" s="81"/>
      <c r="R43" s="134" t="s">
        <v>391</v>
      </c>
      <c r="S43" s="162"/>
      <c r="T43" s="162"/>
      <c r="U43" s="162"/>
    </row>
    <row r="44" spans="1:21" ht="15" customHeight="1">
      <c r="A44" s="134" t="s">
        <v>391</v>
      </c>
      <c r="B44" s="8"/>
      <c r="C44" s="237" t="s">
        <v>268</v>
      </c>
      <c r="D44" s="237"/>
      <c r="E44" s="237"/>
      <c r="F44" s="237"/>
      <c r="G44" s="237"/>
      <c r="H44" s="237"/>
      <c r="I44" s="237"/>
      <c r="J44" s="80"/>
      <c r="K44" t="s">
        <v>248</v>
      </c>
      <c r="Q44" s="81" t="s">
        <v>24</v>
      </c>
      <c r="R44" s="134" t="s">
        <v>391</v>
      </c>
      <c r="S44" s="162"/>
      <c r="T44" s="162"/>
      <c r="U44" s="162"/>
    </row>
    <row r="45" spans="1:21">
      <c r="A45" s="134" t="s">
        <v>395</v>
      </c>
      <c r="B45" s="8"/>
      <c r="C45" t="s">
        <v>33</v>
      </c>
      <c r="H45" t="s">
        <v>72</v>
      </c>
      <c r="K45" s="162">
        <v>0</v>
      </c>
      <c r="L45" s="162"/>
      <c r="M45" s="162"/>
      <c r="N45" s="162"/>
      <c r="O45" t="s">
        <v>213</v>
      </c>
      <c r="R45" s="134" t="s">
        <v>395</v>
      </c>
      <c r="S45" s="162"/>
      <c r="T45" s="162"/>
      <c r="U45" s="162"/>
    </row>
    <row r="46" spans="1:21">
      <c r="A46" s="134" t="s">
        <v>395</v>
      </c>
      <c r="B46" s="8"/>
      <c r="C46" t="s">
        <v>34</v>
      </c>
      <c r="H46" t="s">
        <v>72</v>
      </c>
      <c r="K46" s="162">
        <v>0</v>
      </c>
      <c r="L46" s="162"/>
      <c r="M46" s="162"/>
      <c r="N46" s="162"/>
      <c r="O46" t="s">
        <v>213</v>
      </c>
      <c r="R46" s="134" t="s">
        <v>395</v>
      </c>
      <c r="S46" s="162"/>
      <c r="T46" s="162"/>
      <c r="U46" s="162"/>
    </row>
    <row r="47" spans="1:21">
      <c r="A47" s="134" t="s">
        <v>396</v>
      </c>
      <c r="B47" s="8"/>
      <c r="C47" t="s">
        <v>321</v>
      </c>
      <c r="R47" s="134" t="s">
        <v>396</v>
      </c>
      <c r="S47" s="162"/>
      <c r="T47" s="162"/>
      <c r="U47" s="162"/>
    </row>
    <row r="48" spans="1:21">
      <c r="A48" s="8">
        <v>6</v>
      </c>
      <c r="B48" s="8"/>
      <c r="C48" t="s">
        <v>20</v>
      </c>
      <c r="J48" s="162"/>
      <c r="K48" s="162"/>
      <c r="M48" t="s">
        <v>320</v>
      </c>
      <c r="R48" s="8">
        <v>6</v>
      </c>
      <c r="S48" s="155">
        <f>'SS PT SD SINT'!B21</f>
        <v>0</v>
      </c>
      <c r="T48" s="155"/>
      <c r="U48" s="155"/>
    </row>
    <row r="49" spans="1:23">
      <c r="A49" s="133" t="s">
        <v>91</v>
      </c>
      <c r="B49" s="8"/>
      <c r="C49" t="s">
        <v>322</v>
      </c>
      <c r="R49" s="133" t="s">
        <v>91</v>
      </c>
      <c r="S49" s="162"/>
      <c r="T49" s="162"/>
      <c r="U49" s="162"/>
    </row>
    <row r="50" spans="1:23">
      <c r="A50" s="8">
        <v>9</v>
      </c>
      <c r="B50" s="8"/>
      <c r="C50" t="s">
        <v>304</v>
      </c>
      <c r="R50" s="8">
        <v>9</v>
      </c>
      <c r="S50" s="155">
        <f>S21+S22+S23+S24+S25+S26+S27+S28+S29+S30+S40+S41+S42+S45+S46+S47+S48+S49+S43+S44</f>
        <v>0</v>
      </c>
      <c r="T50" s="155"/>
      <c r="U50" s="155"/>
    </row>
    <row r="51" spans="1:23">
      <c r="A51" s="12" t="s">
        <v>28</v>
      </c>
      <c r="B51" s="12"/>
      <c r="R51" s="8"/>
      <c r="S51" s="8"/>
      <c r="T51" s="8"/>
      <c r="U51" s="8"/>
    </row>
    <row r="52" spans="1:23">
      <c r="A52" s="134" t="s">
        <v>397</v>
      </c>
      <c r="B52" s="8"/>
      <c r="C52" t="s">
        <v>305</v>
      </c>
      <c r="R52" s="134" t="s">
        <v>397</v>
      </c>
      <c r="S52" s="214"/>
      <c r="T52" s="162"/>
      <c r="U52" s="162"/>
    </row>
    <row r="53" spans="1:23">
      <c r="A53" s="134" t="s">
        <v>398</v>
      </c>
      <c r="B53" s="8"/>
      <c r="C53" t="s">
        <v>306</v>
      </c>
      <c r="R53" s="134" t="s">
        <v>398</v>
      </c>
      <c r="S53" s="215"/>
      <c r="T53" s="216"/>
      <c r="U53" s="217"/>
    </row>
    <row r="54" spans="1:23">
      <c r="A54" s="134" t="s">
        <v>399</v>
      </c>
      <c r="B54" s="8"/>
      <c r="C54" t="s">
        <v>307</v>
      </c>
      <c r="R54" s="134" t="s">
        <v>399</v>
      </c>
      <c r="S54" s="215"/>
      <c r="T54" s="216"/>
      <c r="U54" s="217"/>
    </row>
    <row r="55" spans="1:23" ht="15" hidden="1" customHeight="1">
      <c r="A55" s="8">
        <v>26</v>
      </c>
      <c r="B55" s="8"/>
      <c r="C55" t="s">
        <v>214</v>
      </c>
      <c r="R55" s="8">
        <v>26</v>
      </c>
      <c r="S55" s="159">
        <v>0</v>
      </c>
      <c r="T55" s="160"/>
      <c r="U55" s="161"/>
    </row>
    <row r="56" spans="1:23">
      <c r="A56" s="134" t="s">
        <v>400</v>
      </c>
      <c r="B56" s="8"/>
      <c r="C56" t="s">
        <v>308</v>
      </c>
      <c r="R56" s="134" t="s">
        <v>400</v>
      </c>
      <c r="S56" s="155">
        <f>ROUND('SS PT SD SINT'!B37+'SS PT SD SINT'!E37,0)</f>
        <v>0</v>
      </c>
      <c r="T56" s="155"/>
      <c r="U56" s="155"/>
    </row>
    <row r="57" spans="1:23">
      <c r="A57" s="134" t="s">
        <v>401</v>
      </c>
      <c r="B57" s="8"/>
      <c r="C57" t="s">
        <v>309</v>
      </c>
      <c r="R57" s="134" t="s">
        <v>401</v>
      </c>
      <c r="S57" s="162"/>
      <c r="T57" s="162"/>
      <c r="U57" s="162"/>
    </row>
    <row r="58" spans="1:23">
      <c r="A58" s="134" t="s">
        <v>402</v>
      </c>
      <c r="B58" s="8"/>
      <c r="C58" t="s">
        <v>310</v>
      </c>
      <c r="R58" s="134" t="s">
        <v>402</v>
      </c>
      <c r="S58" s="162"/>
      <c r="T58" s="162"/>
      <c r="U58" s="162"/>
    </row>
    <row r="59" spans="1:23">
      <c r="A59" s="134" t="s">
        <v>403</v>
      </c>
      <c r="B59" s="8"/>
      <c r="C59" t="s">
        <v>311</v>
      </c>
      <c r="R59" s="134" t="s">
        <v>403</v>
      </c>
      <c r="S59" s="162"/>
      <c r="T59" s="162"/>
      <c r="U59" s="162"/>
    </row>
    <row r="60" spans="1:23">
      <c r="A60" s="134" t="s">
        <v>404</v>
      </c>
      <c r="B60" s="8"/>
      <c r="C60" t="s">
        <v>312</v>
      </c>
      <c r="R60" s="134" t="s">
        <v>404</v>
      </c>
      <c r="S60" s="162"/>
      <c r="T60" s="162"/>
      <c r="U60" s="162"/>
    </row>
    <row r="61" spans="1:23">
      <c r="A61" s="134" t="s">
        <v>405</v>
      </c>
      <c r="B61" s="8"/>
      <c r="C61" t="s">
        <v>313</v>
      </c>
      <c r="R61" s="134" t="s">
        <v>405</v>
      </c>
      <c r="S61" s="162"/>
      <c r="T61" s="162"/>
      <c r="U61" s="162"/>
    </row>
    <row r="62" spans="1:23">
      <c r="A62" s="134" t="s">
        <v>406</v>
      </c>
      <c r="B62" s="8"/>
      <c r="C62" t="s">
        <v>314</v>
      </c>
      <c r="I62" s="159">
        <v>0</v>
      </c>
      <c r="J62" s="161"/>
      <c r="K62" s="8" t="s">
        <v>315</v>
      </c>
      <c r="L62" s="8"/>
      <c r="M62" s="8"/>
      <c r="N62" s="8"/>
      <c r="O62" s="8"/>
      <c r="P62" s="8"/>
      <c r="R62" s="134" t="s">
        <v>406</v>
      </c>
      <c r="S62" s="155">
        <f>'SS PT SD SINT'!H34</f>
        <v>0</v>
      </c>
      <c r="T62" s="155"/>
      <c r="U62" s="155"/>
      <c r="W62" t="s">
        <v>24</v>
      </c>
    </row>
    <row r="63" spans="1:23" ht="15" hidden="1" customHeight="1">
      <c r="A63" s="134" t="s">
        <v>407</v>
      </c>
      <c r="B63" s="8"/>
      <c r="C63" t="s">
        <v>316</v>
      </c>
      <c r="R63" s="134" t="s">
        <v>407</v>
      </c>
      <c r="S63" s="159"/>
      <c r="T63" s="160"/>
      <c r="U63" s="161"/>
    </row>
    <row r="64" spans="1:23">
      <c r="A64" s="8" t="s">
        <v>410</v>
      </c>
      <c r="B64" s="8"/>
      <c r="C64" t="s">
        <v>411</v>
      </c>
      <c r="R64" s="8" t="s">
        <v>410</v>
      </c>
      <c r="S64" s="155">
        <f>SUM(S52:S63)</f>
        <v>0</v>
      </c>
      <c r="T64" s="155"/>
      <c r="U64" s="155"/>
    </row>
    <row r="65" spans="1:23">
      <c r="A65" s="8">
        <v>11</v>
      </c>
      <c r="B65" s="8"/>
      <c r="C65" t="s">
        <v>318</v>
      </c>
      <c r="R65" s="8">
        <v>11</v>
      </c>
      <c r="S65" s="155">
        <f>S50-S64</f>
        <v>0</v>
      </c>
      <c r="T65" s="155"/>
      <c r="U65" s="155"/>
    </row>
    <row r="66" spans="1:23">
      <c r="A66" s="8">
        <v>13</v>
      </c>
      <c r="B66" s="8"/>
      <c r="C66" t="s">
        <v>379</v>
      </c>
      <c r="R66" s="8">
        <v>13</v>
      </c>
      <c r="S66" s="155">
        <f>qbi!F11</f>
        <v>0</v>
      </c>
      <c r="T66" s="155"/>
      <c r="U66" s="155"/>
    </row>
    <row r="67" spans="1:23">
      <c r="A67" s="8">
        <v>13</v>
      </c>
      <c r="B67" s="8"/>
      <c r="C67" t="s">
        <v>378</v>
      </c>
      <c r="M67" s="74"/>
      <c r="N67" s="74"/>
      <c r="O67" s="74"/>
      <c r="P67" s="74"/>
      <c r="Q67" s="74"/>
      <c r="R67" s="8">
        <v>13</v>
      </c>
      <c r="S67" s="162"/>
      <c r="T67" s="162"/>
      <c r="U67" s="162"/>
    </row>
    <row r="68" spans="1:23">
      <c r="A68" s="8">
        <v>13</v>
      </c>
      <c r="B68" s="8"/>
      <c r="C68" t="s">
        <v>416</v>
      </c>
      <c r="R68" s="8">
        <v>11</v>
      </c>
      <c r="S68" s="155">
        <f>IF(S67=0,S66,S67)</f>
        <v>0</v>
      </c>
      <c r="T68" s="155"/>
      <c r="U68" s="155"/>
    </row>
    <row r="69" spans="1:23">
      <c r="A69" s="11" t="s">
        <v>409</v>
      </c>
      <c r="B69" s="11"/>
    </row>
    <row r="70" spans="1:23" ht="3" customHeight="1">
      <c r="A70" s="15"/>
      <c r="B70" s="15"/>
      <c r="C70" s="16"/>
      <c r="D70" s="16"/>
      <c r="E70" s="16"/>
      <c r="F70" s="16"/>
      <c r="G70" s="16"/>
      <c r="H70" s="16"/>
      <c r="I70" s="16"/>
      <c r="J70" s="17"/>
      <c r="K70" s="17"/>
      <c r="L70" s="17"/>
      <c r="M70" s="17"/>
      <c r="N70" s="17"/>
      <c r="O70" s="16"/>
      <c r="P70" s="16"/>
      <c r="Q70" s="16"/>
      <c r="R70" s="16"/>
      <c r="S70" s="18"/>
      <c r="T70" s="18"/>
      <c r="U70" s="18"/>
    </row>
    <row r="71" spans="1:23">
      <c r="A71" s="11" t="s">
        <v>35</v>
      </c>
      <c r="B71" s="11"/>
    </row>
    <row r="72" spans="1:23">
      <c r="A72" t="s">
        <v>216</v>
      </c>
      <c r="C72" t="s">
        <v>83</v>
      </c>
      <c r="F72" s="159"/>
      <c r="G72" s="161"/>
      <c r="H72" s="75" t="s">
        <v>303</v>
      </c>
      <c r="I72" s="244">
        <f>S65*0.075</f>
        <v>0</v>
      </c>
      <c r="J72" s="245"/>
      <c r="K72" t="s">
        <v>319</v>
      </c>
      <c r="R72" t="s">
        <v>217</v>
      </c>
      <c r="S72" s="163">
        <f>IF(F72&gt;I72,F72-I72,0)</f>
        <v>0</v>
      </c>
      <c r="T72" s="164"/>
      <c r="U72" s="165"/>
    </row>
    <row r="73" spans="1:23">
      <c r="A73" t="s">
        <v>218</v>
      </c>
      <c r="C73" t="s">
        <v>74</v>
      </c>
      <c r="G73" t="s">
        <v>195</v>
      </c>
      <c r="J73" s="238">
        <f>SUM(S130:T144)</f>
        <v>0</v>
      </c>
      <c r="K73" s="238"/>
      <c r="M73" t="s">
        <v>461</v>
      </c>
      <c r="P73" s="156"/>
      <c r="Q73" s="158"/>
      <c r="R73" t="s">
        <v>218</v>
      </c>
      <c r="S73" s="163">
        <f>P73+J73</f>
        <v>0</v>
      </c>
      <c r="T73" s="164"/>
      <c r="U73" s="165"/>
    </row>
    <row r="74" spans="1:23">
      <c r="A74" t="s">
        <v>219</v>
      </c>
      <c r="C74" t="s">
        <v>329</v>
      </c>
      <c r="R74" t="s">
        <v>219</v>
      </c>
      <c r="S74" s="159"/>
      <c r="T74" s="160"/>
      <c r="U74" s="161"/>
    </row>
    <row r="75" spans="1:23">
      <c r="A75" t="s">
        <v>220</v>
      </c>
      <c r="C75" t="s">
        <v>330</v>
      </c>
      <c r="R75" t="s">
        <v>220</v>
      </c>
      <c r="S75" s="159"/>
      <c r="T75" s="160"/>
      <c r="U75" s="161"/>
    </row>
    <row r="76" spans="1:23">
      <c r="C76" t="s">
        <v>331</v>
      </c>
      <c r="S76" s="163">
        <f>'SS PT SD SINT'!T38</f>
        <v>0</v>
      </c>
      <c r="T76" s="164"/>
      <c r="U76" s="165"/>
    </row>
    <row r="77" spans="1:23">
      <c r="A77" t="s">
        <v>221</v>
      </c>
      <c r="C77" t="s">
        <v>107</v>
      </c>
      <c r="H77" s="159"/>
      <c r="I77" s="161"/>
      <c r="J77" s="68" t="s">
        <v>108</v>
      </c>
      <c r="L77" s="162"/>
      <c r="M77" s="162"/>
      <c r="N77" s="8" t="s">
        <v>109</v>
      </c>
      <c r="O77" s="159"/>
      <c r="P77" s="161"/>
      <c r="Q77" t="s">
        <v>215</v>
      </c>
      <c r="R77" t="s">
        <v>221</v>
      </c>
      <c r="S77" s="163">
        <f>O77+L77+H77</f>
        <v>0</v>
      </c>
      <c r="T77" s="164"/>
      <c r="U77" s="165"/>
    </row>
    <row r="78" spans="1:23">
      <c r="A78" t="s">
        <v>222</v>
      </c>
      <c r="C78" t="s">
        <v>332</v>
      </c>
      <c r="F78" s="159"/>
      <c r="G78" s="161"/>
      <c r="H78" s="75" t="s">
        <v>564</v>
      </c>
      <c r="I78" s="244">
        <f>S65*0.005</f>
        <v>0</v>
      </c>
      <c r="J78" s="245"/>
      <c r="K78" t="s">
        <v>563</v>
      </c>
      <c r="R78" t="s">
        <v>222</v>
      </c>
      <c r="S78" s="163">
        <f>IF(F78&gt;I78,F78-I78,0)</f>
        <v>0</v>
      </c>
      <c r="T78" s="164"/>
      <c r="U78" s="165"/>
      <c r="W78" t="s">
        <v>24</v>
      </c>
    </row>
    <row r="79" spans="1:23">
      <c r="C79" t="s">
        <v>333</v>
      </c>
      <c r="S79" s="159"/>
      <c r="T79" s="160"/>
      <c r="U79" s="161"/>
    </row>
    <row r="80" spans="1:23">
      <c r="A80" t="s">
        <v>223</v>
      </c>
      <c r="C80" t="s">
        <v>374</v>
      </c>
      <c r="J80" s="6"/>
      <c r="K80" s="6"/>
      <c r="L80" s="6"/>
      <c r="M80" s="6"/>
      <c r="N80" s="6"/>
      <c r="R80" t="s">
        <v>223</v>
      </c>
      <c r="S80" s="159"/>
      <c r="T80" s="160"/>
      <c r="U80" s="161"/>
    </row>
    <row r="81" spans="1:21">
      <c r="A81" t="s">
        <v>224</v>
      </c>
      <c r="C81" t="s">
        <v>334</v>
      </c>
      <c r="J81" s="6"/>
      <c r="K81" s="6"/>
      <c r="L81" s="6"/>
      <c r="M81" s="6"/>
      <c r="N81" s="6"/>
      <c r="R81" t="s">
        <v>224</v>
      </c>
      <c r="S81" s="163">
        <f>SUM(S72+S76+S77+S78+S79+S80)</f>
        <v>0</v>
      </c>
      <c r="T81" s="164"/>
      <c r="U81" s="165"/>
    </row>
    <row r="82" spans="1:21" ht="3" customHeight="1">
      <c r="A82" s="15"/>
      <c r="B82" s="15"/>
      <c r="C82" s="16"/>
      <c r="D82" s="16"/>
      <c r="E82" s="16"/>
      <c r="F82" s="16"/>
      <c r="G82" s="16"/>
      <c r="H82" s="16"/>
      <c r="I82" s="16"/>
      <c r="J82" s="17"/>
      <c r="K82" s="17"/>
      <c r="L82" s="17"/>
      <c r="M82" s="17"/>
      <c r="N82" s="17"/>
      <c r="O82" s="16"/>
      <c r="P82" s="16"/>
      <c r="Q82" s="16"/>
      <c r="R82" s="16"/>
      <c r="S82" s="18"/>
      <c r="T82" s="18"/>
      <c r="U82" s="18"/>
    </row>
    <row r="83" spans="1:21">
      <c r="A83" s="8">
        <v>12</v>
      </c>
      <c r="B83" s="8"/>
      <c r="C83" t="s">
        <v>335</v>
      </c>
      <c r="R83" s="8">
        <v>12</v>
      </c>
      <c r="S83" s="163">
        <f>'SS PT SD SINT'!G14</f>
        <v>16100</v>
      </c>
      <c r="T83" s="164"/>
      <c r="U83" s="165"/>
    </row>
    <row r="84" spans="1:21">
      <c r="A84" s="8">
        <v>12</v>
      </c>
      <c r="B84" s="8"/>
      <c r="C84" t="s">
        <v>408</v>
      </c>
      <c r="R84" s="8">
        <v>12</v>
      </c>
      <c r="S84" s="163">
        <f>IF(S81&gt;S83,S81,S83)</f>
        <v>16100</v>
      </c>
      <c r="T84" s="164"/>
      <c r="U84" s="165"/>
    </row>
    <row r="85" spans="1:21">
      <c r="A85" s="134" t="s">
        <v>551</v>
      </c>
      <c r="B85" s="8"/>
      <c r="C85" t="s">
        <v>544</v>
      </c>
      <c r="I85" s="239"/>
      <c r="J85" s="240"/>
      <c r="K85" s="8" t="s">
        <v>315</v>
      </c>
      <c r="L85" s="8"/>
      <c r="M85" s="8"/>
      <c r="N85" s="8"/>
      <c r="O85" s="8"/>
      <c r="P85" s="8"/>
      <c r="R85" s="134" t="s">
        <v>557</v>
      </c>
      <c r="S85" s="155">
        <f>'SS PT SD SINT'!T8</f>
        <v>0</v>
      </c>
      <c r="T85" s="155"/>
      <c r="U85" s="155"/>
    </row>
    <row r="86" spans="1:21">
      <c r="A86" s="134" t="s">
        <v>552</v>
      </c>
      <c r="B86" s="8"/>
      <c r="C86" t="s">
        <v>545</v>
      </c>
      <c r="I86" s="159"/>
      <c r="J86" s="161"/>
      <c r="K86" s="8" t="s">
        <v>315</v>
      </c>
      <c r="L86" s="8"/>
      <c r="M86" s="8"/>
      <c r="N86" s="8"/>
      <c r="O86" s="8"/>
      <c r="P86" s="8"/>
      <c r="R86" s="134" t="s">
        <v>558</v>
      </c>
      <c r="S86" s="155">
        <f>'SS PT SD SINT'!T19</f>
        <v>0</v>
      </c>
      <c r="T86" s="155"/>
      <c r="U86" s="155"/>
    </row>
    <row r="87" spans="1:21">
      <c r="A87" s="134" t="s">
        <v>553</v>
      </c>
      <c r="B87" s="8"/>
      <c r="C87" t="s">
        <v>546</v>
      </c>
      <c r="I87" s="159"/>
      <c r="J87" s="161"/>
      <c r="K87" s="8" t="s">
        <v>315</v>
      </c>
      <c r="L87" s="8"/>
      <c r="M87" s="8"/>
      <c r="N87" s="8"/>
      <c r="O87" s="8"/>
      <c r="P87" s="8"/>
      <c r="R87" s="134" t="s">
        <v>559</v>
      </c>
      <c r="S87" s="155">
        <f>'SS PT SD SINT'!T29</f>
        <v>0</v>
      </c>
      <c r="T87" s="155"/>
      <c r="U87" s="155"/>
    </row>
    <row r="88" spans="1:21">
      <c r="A88" s="134" t="s">
        <v>554</v>
      </c>
      <c r="B88" s="8"/>
      <c r="C88" t="s">
        <v>555</v>
      </c>
      <c r="K88" s="8"/>
      <c r="L88" s="8"/>
      <c r="M88" s="8"/>
      <c r="N88" s="8"/>
      <c r="O88" s="8"/>
      <c r="P88" s="8"/>
      <c r="R88" s="134" t="s">
        <v>556</v>
      </c>
      <c r="S88" s="241">
        <f>'SS PT SD SINT'!G13</f>
        <v>10500</v>
      </c>
      <c r="T88" s="242"/>
      <c r="U88" s="243"/>
    </row>
    <row r="89" spans="1:21">
      <c r="A89" s="8">
        <v>14</v>
      </c>
      <c r="B89" s="8"/>
      <c r="C89" t="s">
        <v>550</v>
      </c>
      <c r="R89" s="8">
        <v>14</v>
      </c>
      <c r="S89" s="163">
        <f>S84+S68+S85+S86+S87+S88</f>
        <v>26600</v>
      </c>
      <c r="T89" s="164"/>
      <c r="U89" s="165"/>
    </row>
    <row r="90" spans="1:21">
      <c r="A90" s="12">
        <v>15</v>
      </c>
      <c r="B90" s="12"/>
      <c r="C90" s="11" t="s">
        <v>338</v>
      </c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2">
        <v>15</v>
      </c>
      <c r="S90" s="155">
        <f>S65-S89-'SS PT SD SINT'!H41</f>
        <v>-26600</v>
      </c>
      <c r="T90" s="155"/>
      <c r="U90" s="155"/>
    </row>
    <row r="91" spans="1:21">
      <c r="A91" s="8">
        <v>16</v>
      </c>
      <c r="B91" s="8"/>
      <c r="C91" t="s">
        <v>339</v>
      </c>
      <c r="R91" s="8">
        <v>16</v>
      </c>
      <c r="S91" s="155">
        <f>'tax CCC CTC'!D10</f>
        <v>0</v>
      </c>
      <c r="T91" s="155"/>
      <c r="U91" s="155"/>
    </row>
    <row r="92" spans="1:21">
      <c r="A92" s="134">
        <v>17</v>
      </c>
      <c r="B92" s="8"/>
      <c r="C92" t="s">
        <v>340</v>
      </c>
      <c r="R92" s="134">
        <v>17</v>
      </c>
      <c r="S92" s="162">
        <v>0</v>
      </c>
      <c r="T92" s="162"/>
      <c r="U92" s="162"/>
    </row>
    <row r="93" spans="1:21">
      <c r="A93" s="134">
        <v>17</v>
      </c>
      <c r="B93" s="8"/>
      <c r="C93" t="s">
        <v>341</v>
      </c>
      <c r="R93" s="134">
        <v>17</v>
      </c>
      <c r="S93" s="162">
        <v>0</v>
      </c>
      <c r="T93" s="162"/>
      <c r="U93" s="162"/>
    </row>
    <row r="94" spans="1:21">
      <c r="A94" s="134">
        <v>18</v>
      </c>
      <c r="B94" s="8"/>
      <c r="C94" t="s">
        <v>342</v>
      </c>
      <c r="R94" s="134">
        <v>18</v>
      </c>
      <c r="S94" s="222">
        <f>S91+S92+S93</f>
        <v>0</v>
      </c>
      <c r="T94" s="222"/>
      <c r="U94" s="222"/>
    </row>
    <row r="95" spans="1:21">
      <c r="A95" s="12" t="s">
        <v>106</v>
      </c>
      <c r="B95" s="12"/>
      <c r="R95" s="8"/>
      <c r="S95" s="32"/>
      <c r="T95" s="32"/>
      <c r="U95" s="32"/>
    </row>
    <row r="96" spans="1:21">
      <c r="A96" s="134" t="s">
        <v>417</v>
      </c>
      <c r="B96" s="8"/>
      <c r="C96" t="s">
        <v>343</v>
      </c>
      <c r="R96" s="134" t="s">
        <v>417</v>
      </c>
      <c r="S96" s="162">
        <v>0</v>
      </c>
      <c r="T96" s="162"/>
      <c r="U96" s="162"/>
    </row>
    <row r="97" spans="1:21">
      <c r="A97" s="134" t="s">
        <v>418</v>
      </c>
      <c r="B97" s="8"/>
      <c r="C97" t="s">
        <v>25</v>
      </c>
      <c r="F97" t="s">
        <v>412</v>
      </c>
      <c r="H97" s="63"/>
      <c r="J97" t="s">
        <v>23</v>
      </c>
      <c r="P97" s="159"/>
      <c r="Q97" s="161"/>
      <c r="R97" s="134" t="s">
        <v>418</v>
      </c>
      <c r="S97" s="155">
        <f>'tax CCC CTC'!B27</f>
        <v>0</v>
      </c>
      <c r="T97" s="155"/>
      <c r="U97" s="155"/>
    </row>
    <row r="98" spans="1:21">
      <c r="A98" s="134" t="s">
        <v>419</v>
      </c>
      <c r="B98" s="8"/>
      <c r="C98" t="s">
        <v>344</v>
      </c>
      <c r="R98" s="134" t="s">
        <v>419</v>
      </c>
      <c r="S98" s="162">
        <v>0</v>
      </c>
      <c r="T98" s="162"/>
      <c r="U98" s="162"/>
    </row>
    <row r="99" spans="1:21">
      <c r="A99" s="134" t="s">
        <v>420</v>
      </c>
      <c r="B99" s="8"/>
      <c r="C99" t="s">
        <v>345</v>
      </c>
      <c r="R99" s="134" t="s">
        <v>420</v>
      </c>
      <c r="S99" s="162">
        <v>0</v>
      </c>
      <c r="T99" s="162"/>
      <c r="U99" s="162"/>
    </row>
    <row r="100" spans="1:21">
      <c r="A100" s="8">
        <v>19</v>
      </c>
      <c r="B100" s="8"/>
      <c r="C100" t="s">
        <v>346</v>
      </c>
      <c r="R100" s="8">
        <v>19</v>
      </c>
      <c r="S100" s="155">
        <f>'tax CCC CTC'!B42</f>
        <v>0</v>
      </c>
      <c r="T100" s="155"/>
      <c r="U100" s="155"/>
    </row>
    <row r="101" spans="1:21">
      <c r="A101" s="134" t="s">
        <v>421</v>
      </c>
      <c r="B101" s="8"/>
      <c r="C101" t="s">
        <v>347</v>
      </c>
      <c r="R101" s="134" t="s">
        <v>421</v>
      </c>
      <c r="S101" s="162">
        <v>0</v>
      </c>
      <c r="T101" s="162"/>
      <c r="U101" s="162"/>
    </row>
    <row r="102" spans="1:21">
      <c r="A102" s="134" t="s">
        <v>422</v>
      </c>
      <c r="B102" s="8"/>
      <c r="C102" t="s">
        <v>348</v>
      </c>
      <c r="R102" s="134" t="s">
        <v>422</v>
      </c>
      <c r="S102" s="162">
        <v>0</v>
      </c>
      <c r="T102" s="162"/>
      <c r="U102" s="162"/>
    </row>
    <row r="103" spans="1:21">
      <c r="A103" s="134">
        <v>21</v>
      </c>
      <c r="B103" s="8"/>
      <c r="C103" t="s">
        <v>442</v>
      </c>
      <c r="R103" s="134">
        <v>21</v>
      </c>
      <c r="S103" s="155">
        <f>SUM(S96:U102)</f>
        <v>0</v>
      </c>
      <c r="T103" s="155"/>
      <c r="U103" s="155"/>
    </row>
    <row r="104" spans="1:21">
      <c r="A104" s="8">
        <v>22</v>
      </c>
      <c r="B104" s="8"/>
      <c r="C104" t="s">
        <v>423</v>
      </c>
      <c r="R104" s="8">
        <v>22</v>
      </c>
      <c r="S104" s="155">
        <f>IF(S94&gt;S103,S94-S103,0)</f>
        <v>0</v>
      </c>
      <c r="T104" s="155"/>
      <c r="U104" s="155"/>
    </row>
    <row r="105" spans="1:21">
      <c r="A105" s="11" t="s">
        <v>30</v>
      </c>
      <c r="B105" s="11"/>
    </row>
    <row r="106" spans="1:21">
      <c r="A106" s="133" t="s">
        <v>424</v>
      </c>
      <c r="B106" s="8"/>
      <c r="C106" t="s">
        <v>351</v>
      </c>
      <c r="R106" s="133" t="s">
        <v>424</v>
      </c>
      <c r="S106" s="155">
        <f>ROUND('SS PT SD SINT'!E36+'SS PT SD SINT'!B36,0)</f>
        <v>0</v>
      </c>
      <c r="T106" s="155"/>
      <c r="U106" s="155"/>
    </row>
    <row r="107" spans="1:21">
      <c r="A107" s="134" t="s">
        <v>425</v>
      </c>
      <c r="B107" s="8"/>
      <c r="C107" t="s">
        <v>352</v>
      </c>
      <c r="R107" s="134" t="s">
        <v>425</v>
      </c>
      <c r="S107" s="162">
        <v>0</v>
      </c>
      <c r="T107" s="162"/>
      <c r="U107" s="162"/>
    </row>
    <row r="108" spans="1:21">
      <c r="A108" s="134" t="s">
        <v>426</v>
      </c>
      <c r="B108" s="8"/>
      <c r="C108" t="s">
        <v>353</v>
      </c>
      <c r="R108" s="134" t="s">
        <v>426</v>
      </c>
      <c r="S108" s="162"/>
      <c r="T108" s="162"/>
      <c r="U108" s="162"/>
    </row>
    <row r="109" spans="1:21">
      <c r="A109" s="29" t="s">
        <v>427</v>
      </c>
      <c r="C109" t="s">
        <v>429</v>
      </c>
      <c r="R109" s="29" t="s">
        <v>427</v>
      </c>
      <c r="S109" s="162">
        <v>0</v>
      </c>
      <c r="T109" s="162"/>
      <c r="U109" s="162"/>
    </row>
    <row r="110" spans="1:21">
      <c r="A110" s="29" t="s">
        <v>428</v>
      </c>
      <c r="C110" t="s">
        <v>430</v>
      </c>
      <c r="R110" s="29" t="s">
        <v>428</v>
      </c>
      <c r="S110" s="162">
        <v>0</v>
      </c>
      <c r="T110" s="162"/>
      <c r="U110" s="162"/>
    </row>
    <row r="111" spans="1:21">
      <c r="A111" s="134" t="s">
        <v>431</v>
      </c>
      <c r="B111" s="8"/>
      <c r="C111" t="s">
        <v>432</v>
      </c>
      <c r="R111" s="134" t="s">
        <v>431</v>
      </c>
      <c r="S111" s="162">
        <v>0</v>
      </c>
      <c r="T111" s="162"/>
      <c r="U111" s="162"/>
    </row>
    <row r="112" spans="1:21">
      <c r="A112" s="134" t="s">
        <v>433</v>
      </c>
      <c r="B112" s="8"/>
      <c r="C112" t="s">
        <v>354</v>
      </c>
      <c r="R112" s="134" t="s">
        <v>433</v>
      </c>
      <c r="S112" s="155">
        <f>SUM(S104:U111)</f>
        <v>0</v>
      </c>
      <c r="T112" s="155"/>
      <c r="U112" s="155"/>
    </row>
    <row r="113" spans="1:21">
      <c r="A113" s="11" t="s">
        <v>31</v>
      </c>
      <c r="B113" s="11"/>
    </row>
    <row r="114" spans="1:21">
      <c r="A114" s="8">
        <v>64</v>
      </c>
      <c r="B114" s="8"/>
      <c r="C114" t="s">
        <v>355</v>
      </c>
      <c r="R114" s="8">
        <v>25</v>
      </c>
      <c r="S114" s="155">
        <f>ROUND(withholding!R12+withholding!R49,0)</f>
        <v>0</v>
      </c>
      <c r="T114" s="155"/>
      <c r="U114" s="155"/>
    </row>
    <row r="115" spans="1:21">
      <c r="A115" s="8">
        <v>65</v>
      </c>
      <c r="B115" s="8"/>
      <c r="C115" t="s">
        <v>356</v>
      </c>
      <c r="R115" s="8">
        <v>26</v>
      </c>
      <c r="S115" s="162">
        <v>0</v>
      </c>
      <c r="T115" s="162"/>
      <c r="U115" s="162"/>
    </row>
    <row r="116" spans="1:21">
      <c r="A116" s="8" t="s">
        <v>242</v>
      </c>
      <c r="B116" s="8"/>
      <c r="C116" t="s">
        <v>32</v>
      </c>
      <c r="L116" s="63"/>
      <c r="R116" s="8">
        <v>27</v>
      </c>
      <c r="S116" s="155">
        <f>EIC!B17</f>
        <v>0</v>
      </c>
      <c r="T116" s="155"/>
      <c r="U116" s="155"/>
    </row>
    <row r="117" spans="1:21">
      <c r="A117" s="8">
        <v>67</v>
      </c>
      <c r="B117" s="8"/>
      <c r="C117" t="s">
        <v>269</v>
      </c>
      <c r="H117" t="s">
        <v>173</v>
      </c>
      <c r="O117" s="159">
        <v>0</v>
      </c>
      <c r="P117" s="161"/>
      <c r="Q117" t="s">
        <v>225</v>
      </c>
      <c r="R117" s="8">
        <v>28</v>
      </c>
      <c r="S117" s="155">
        <f>'tax CCC CTC'!B49</f>
        <v>0</v>
      </c>
      <c r="T117" s="155"/>
      <c r="U117" s="155"/>
    </row>
    <row r="118" spans="1:21">
      <c r="A118" s="8">
        <v>68</v>
      </c>
      <c r="B118" s="8"/>
      <c r="C118" t="s">
        <v>357</v>
      </c>
      <c r="R118" s="8">
        <v>29</v>
      </c>
      <c r="S118" s="162">
        <v>0</v>
      </c>
      <c r="T118" s="162"/>
      <c r="U118" s="162"/>
    </row>
    <row r="119" spans="1:21">
      <c r="A119" s="8">
        <v>69</v>
      </c>
      <c r="B119" s="8"/>
      <c r="C119" t="s">
        <v>434</v>
      </c>
      <c r="R119" s="8">
        <v>30</v>
      </c>
      <c r="S119" s="162">
        <v>0</v>
      </c>
      <c r="T119" s="162"/>
      <c r="U119" s="162"/>
    </row>
    <row r="120" spans="1:21">
      <c r="A120" s="8">
        <v>70</v>
      </c>
      <c r="B120" s="8"/>
      <c r="C120" t="s">
        <v>435</v>
      </c>
      <c r="R120" s="134" t="s">
        <v>437</v>
      </c>
      <c r="S120" s="162">
        <v>0</v>
      </c>
      <c r="T120" s="162"/>
      <c r="U120" s="162"/>
    </row>
    <row r="121" spans="1:21">
      <c r="A121" s="8"/>
      <c r="B121" s="8"/>
      <c r="C121" t="s">
        <v>436</v>
      </c>
      <c r="R121" s="134" t="s">
        <v>438</v>
      </c>
      <c r="S121" s="162">
        <v>0</v>
      </c>
      <c r="T121" s="162"/>
      <c r="U121" s="162"/>
    </row>
    <row r="122" spans="1:21">
      <c r="A122" s="8">
        <v>71</v>
      </c>
      <c r="B122" s="8"/>
      <c r="C122" t="s">
        <v>358</v>
      </c>
      <c r="R122" s="134" t="s">
        <v>439</v>
      </c>
      <c r="S122" s="162">
        <v>0</v>
      </c>
      <c r="T122" s="162"/>
      <c r="U122" s="162"/>
    </row>
    <row r="123" spans="1:21">
      <c r="A123" s="8">
        <v>72</v>
      </c>
      <c r="B123" s="8"/>
      <c r="C123" t="s">
        <v>359</v>
      </c>
      <c r="R123" s="134" t="s">
        <v>440</v>
      </c>
      <c r="S123" s="162">
        <v>0</v>
      </c>
      <c r="T123" s="162"/>
      <c r="U123" s="162"/>
    </row>
    <row r="124" spans="1:21">
      <c r="A124" s="8">
        <v>73</v>
      </c>
      <c r="B124" s="8"/>
      <c r="C124" t="s">
        <v>360</v>
      </c>
      <c r="R124" s="134" t="s">
        <v>441</v>
      </c>
      <c r="S124" s="162">
        <v>0</v>
      </c>
      <c r="T124" s="162"/>
      <c r="U124" s="162"/>
    </row>
    <row r="125" spans="1:21">
      <c r="A125" s="8">
        <v>74</v>
      </c>
      <c r="B125" s="8"/>
      <c r="C125" t="s">
        <v>361</v>
      </c>
      <c r="R125" s="8">
        <v>33</v>
      </c>
      <c r="S125" s="155">
        <f>SUM(S114:U124)</f>
        <v>0</v>
      </c>
      <c r="T125" s="155"/>
      <c r="U125" s="155"/>
    </row>
    <row r="126" spans="1:21">
      <c r="A126" s="11" t="s">
        <v>362</v>
      </c>
      <c r="B126" s="11"/>
      <c r="R126" s="12">
        <v>34</v>
      </c>
      <c r="S126" s="221">
        <f>IF(S125&gt;S112,S125-S112,0)</f>
        <v>0</v>
      </c>
      <c r="T126" s="221"/>
      <c r="U126" s="221"/>
    </row>
    <row r="127" spans="1:21">
      <c r="A127" s="11" t="s">
        <v>363</v>
      </c>
      <c r="B127" s="11"/>
      <c r="R127" s="12">
        <v>35</v>
      </c>
      <c r="S127" s="220">
        <f>IF(S112&gt;S125,S112-S125,0)</f>
        <v>0</v>
      </c>
      <c r="T127" s="220"/>
      <c r="U127" s="220"/>
    </row>
    <row r="128" spans="1:21" ht="23.25">
      <c r="A128" s="246" t="s">
        <v>175</v>
      </c>
      <c r="B128" s="246"/>
      <c r="C128" s="246"/>
      <c r="D128" s="246"/>
      <c r="E128" s="246"/>
      <c r="F128" s="246"/>
      <c r="G128" s="246"/>
      <c r="H128" s="246"/>
      <c r="I128" s="246"/>
      <c r="J128" s="246"/>
      <c r="K128" s="246"/>
      <c r="L128" s="246"/>
      <c r="M128" s="246"/>
      <c r="N128" s="246"/>
      <c r="O128" s="246"/>
      <c r="P128" s="246"/>
      <c r="Q128" s="246"/>
      <c r="R128" s="246"/>
      <c r="S128" s="246"/>
      <c r="T128" s="246"/>
      <c r="U128" s="246"/>
    </row>
    <row r="129" spans="1:21" ht="63.75" customHeight="1">
      <c r="A129" s="77" t="s">
        <v>243</v>
      </c>
      <c r="B129" s="77" t="s">
        <v>284</v>
      </c>
      <c r="C129" s="198" t="s">
        <v>8</v>
      </c>
      <c r="D129" s="198"/>
      <c r="E129" s="198"/>
      <c r="F129" s="198"/>
      <c r="G129" s="198"/>
      <c r="H129" s="40" t="s">
        <v>145</v>
      </c>
      <c r="I129" s="41" t="s">
        <v>146</v>
      </c>
      <c r="J129" s="41" t="s">
        <v>278</v>
      </c>
      <c r="K129" s="41" t="s">
        <v>281</v>
      </c>
      <c r="L129" s="41" t="s">
        <v>282</v>
      </c>
      <c r="M129" s="41" t="s">
        <v>283</v>
      </c>
      <c r="N129" s="42" t="s">
        <v>148</v>
      </c>
      <c r="O129" s="195" t="s">
        <v>11</v>
      </c>
      <c r="P129" s="195"/>
      <c r="Q129" s="197" t="s">
        <v>207</v>
      </c>
      <c r="R129" s="197"/>
      <c r="S129" s="223" t="s">
        <v>208</v>
      </c>
      <c r="T129" s="224"/>
      <c r="U129" s="225"/>
    </row>
    <row r="130" spans="1:21">
      <c r="A130" s="50" t="str">
        <f t="shared" ref="A130:A137" si="0">A12</f>
        <v>T</v>
      </c>
      <c r="B130" s="84"/>
      <c r="C130" s="229">
        <f t="shared" ref="C130:C137" si="1">C12</f>
        <v>0</v>
      </c>
      <c r="D130" s="230"/>
      <c r="E130" s="230"/>
      <c r="F130" s="230"/>
      <c r="G130" s="231"/>
      <c r="H130" s="51">
        <f t="shared" ref="H130:M133" si="2">H12</f>
        <v>0</v>
      </c>
      <c r="I130" s="129">
        <f t="shared" si="2"/>
        <v>0</v>
      </c>
      <c r="J130" s="97">
        <f t="shared" si="2"/>
        <v>0</v>
      </c>
      <c r="K130" s="98">
        <f>SUM(K12)</f>
        <v>0</v>
      </c>
      <c r="L130" s="98">
        <f>L12</f>
        <v>0</v>
      </c>
      <c r="M130" s="98">
        <f>M12</f>
        <v>0</v>
      </c>
      <c r="N130" s="69">
        <v>0</v>
      </c>
      <c r="O130" s="218">
        <f>O12</f>
        <v>0</v>
      </c>
      <c r="P130" s="219"/>
      <c r="Q130" s="163">
        <f>'state withhold'!J3</f>
        <v>0</v>
      </c>
      <c r="R130" s="165"/>
      <c r="S130" s="155">
        <f>'state withhold'!K3</f>
        <v>0</v>
      </c>
      <c r="T130" s="155"/>
      <c r="U130" s="155"/>
    </row>
    <row r="131" spans="1:21">
      <c r="A131" s="50" t="str">
        <f t="shared" si="0"/>
        <v>T</v>
      </c>
      <c r="B131" s="84"/>
      <c r="C131" s="229">
        <f t="shared" si="1"/>
        <v>0</v>
      </c>
      <c r="D131" s="230"/>
      <c r="E131" s="230"/>
      <c r="F131" s="230"/>
      <c r="G131" s="231"/>
      <c r="H131" s="51">
        <f t="shared" si="2"/>
        <v>0</v>
      </c>
      <c r="I131" s="128">
        <f t="shared" si="2"/>
        <v>0</v>
      </c>
      <c r="J131" s="97">
        <f t="shared" si="2"/>
        <v>0</v>
      </c>
      <c r="K131" s="98">
        <f t="shared" si="2"/>
        <v>0</v>
      </c>
      <c r="L131" s="98">
        <f t="shared" si="2"/>
        <v>0</v>
      </c>
      <c r="M131" s="98">
        <f t="shared" si="2"/>
        <v>0</v>
      </c>
      <c r="N131" s="69">
        <v>0</v>
      </c>
      <c r="O131" s="218">
        <f>O13</f>
        <v>0</v>
      </c>
      <c r="P131" s="219"/>
      <c r="Q131" s="163">
        <f>'state withhold'!J4</f>
        <v>0</v>
      </c>
      <c r="R131" s="165"/>
      <c r="S131" s="155">
        <f>'state withhold'!K4</f>
        <v>0</v>
      </c>
      <c r="T131" s="155"/>
      <c r="U131" s="155"/>
    </row>
    <row r="132" spans="1:21">
      <c r="A132" s="51">
        <f t="shared" si="0"/>
        <v>0</v>
      </c>
      <c r="B132" s="82"/>
      <c r="C132" s="226">
        <f t="shared" si="1"/>
        <v>0</v>
      </c>
      <c r="D132" s="227"/>
      <c r="E132" s="227"/>
      <c r="F132" s="227"/>
      <c r="G132" s="228"/>
      <c r="H132" s="51">
        <f t="shared" si="2"/>
        <v>0</v>
      </c>
      <c r="I132" s="97">
        <f t="shared" si="2"/>
        <v>0</v>
      </c>
      <c r="J132" s="97">
        <f t="shared" si="2"/>
        <v>0</v>
      </c>
      <c r="K132" s="98">
        <f t="shared" si="2"/>
        <v>0</v>
      </c>
      <c r="L132" s="98">
        <f t="shared" si="2"/>
        <v>0</v>
      </c>
      <c r="M132" s="98">
        <f t="shared" si="2"/>
        <v>0</v>
      </c>
      <c r="N132" s="69">
        <v>0</v>
      </c>
      <c r="O132" s="218">
        <f>O14</f>
        <v>0</v>
      </c>
      <c r="P132" s="219"/>
      <c r="Q132" s="163">
        <f>'state withhold'!J5</f>
        <v>0</v>
      </c>
      <c r="R132" s="165"/>
      <c r="S132" s="155">
        <f>'state withhold'!K5</f>
        <v>0</v>
      </c>
      <c r="T132" s="155"/>
      <c r="U132" s="155"/>
    </row>
    <row r="133" spans="1:21">
      <c r="A133" s="51">
        <f t="shared" si="0"/>
        <v>0</v>
      </c>
      <c r="B133" s="82"/>
      <c r="C133" s="226">
        <f t="shared" si="1"/>
        <v>0</v>
      </c>
      <c r="D133" s="227"/>
      <c r="E133" s="227"/>
      <c r="F133" s="227"/>
      <c r="G133" s="228"/>
      <c r="H133" s="51">
        <f t="shared" si="2"/>
        <v>0</v>
      </c>
      <c r="I133" s="97">
        <f t="shared" si="2"/>
        <v>0</v>
      </c>
      <c r="J133" s="97">
        <f t="shared" si="2"/>
        <v>0</v>
      </c>
      <c r="K133" s="98">
        <f t="shared" si="2"/>
        <v>0</v>
      </c>
      <c r="L133" s="98">
        <f t="shared" si="2"/>
        <v>0</v>
      </c>
      <c r="M133" s="98">
        <f t="shared" si="2"/>
        <v>0</v>
      </c>
      <c r="N133" s="69">
        <v>0</v>
      </c>
      <c r="O133" s="218">
        <f>O15</f>
        <v>0</v>
      </c>
      <c r="P133" s="219"/>
      <c r="Q133" s="163">
        <f>'state withhold'!J6</f>
        <v>0</v>
      </c>
      <c r="R133" s="165"/>
      <c r="S133" s="155">
        <f>'state withhold'!K6</f>
        <v>0</v>
      </c>
      <c r="T133" s="155"/>
      <c r="U133" s="155"/>
    </row>
    <row r="134" spans="1:21">
      <c r="A134" s="51">
        <f t="shared" si="0"/>
        <v>0</v>
      </c>
      <c r="B134" s="82"/>
      <c r="C134" s="226">
        <f t="shared" si="1"/>
        <v>0</v>
      </c>
      <c r="D134" s="227"/>
      <c r="E134" s="227"/>
      <c r="F134" s="227"/>
      <c r="G134" s="228"/>
      <c r="H134" s="51">
        <f t="shared" ref="H134:O134" si="3">H16</f>
        <v>0</v>
      </c>
      <c r="I134" s="97">
        <f t="shared" si="3"/>
        <v>0</v>
      </c>
      <c r="J134" s="97">
        <f t="shared" si="3"/>
        <v>0</v>
      </c>
      <c r="K134" s="98">
        <f t="shared" si="3"/>
        <v>0</v>
      </c>
      <c r="L134" s="98">
        <f t="shared" si="3"/>
        <v>0</v>
      </c>
      <c r="M134" s="98">
        <f t="shared" si="3"/>
        <v>0</v>
      </c>
      <c r="N134" s="69">
        <v>0</v>
      </c>
      <c r="O134" s="218">
        <f t="shared" si="3"/>
        <v>0</v>
      </c>
      <c r="P134" s="219"/>
      <c r="Q134" s="163">
        <f>'state withhold'!J7</f>
        <v>0</v>
      </c>
      <c r="R134" s="165"/>
      <c r="S134" s="155">
        <f>'state withhold'!K7</f>
        <v>0</v>
      </c>
      <c r="T134" s="155"/>
      <c r="U134" s="155"/>
    </row>
    <row r="135" spans="1:21">
      <c r="A135" s="51">
        <f t="shared" si="0"/>
        <v>0</v>
      </c>
      <c r="B135" s="82"/>
      <c r="C135" s="226">
        <f t="shared" si="1"/>
        <v>0</v>
      </c>
      <c r="D135" s="227"/>
      <c r="E135" s="227"/>
      <c r="F135" s="227"/>
      <c r="G135" s="228"/>
      <c r="H135" s="51">
        <f t="shared" ref="H135:O135" si="4">H17</f>
        <v>0</v>
      </c>
      <c r="I135" s="97">
        <f t="shared" si="4"/>
        <v>0</v>
      </c>
      <c r="J135" s="97">
        <f t="shared" si="4"/>
        <v>0</v>
      </c>
      <c r="K135" s="98">
        <f t="shared" si="4"/>
        <v>0</v>
      </c>
      <c r="L135" s="98">
        <f t="shared" si="4"/>
        <v>0</v>
      </c>
      <c r="M135" s="98">
        <f t="shared" si="4"/>
        <v>0</v>
      </c>
      <c r="N135" s="69">
        <v>0</v>
      </c>
      <c r="O135" s="218">
        <f t="shared" si="4"/>
        <v>0</v>
      </c>
      <c r="P135" s="219"/>
      <c r="Q135" s="163">
        <f>'state withhold'!J8</f>
        <v>0</v>
      </c>
      <c r="R135" s="165"/>
      <c r="S135" s="155">
        <f>'state withhold'!K8</f>
        <v>0</v>
      </c>
      <c r="T135" s="155"/>
      <c r="U135" s="155"/>
    </row>
    <row r="136" spans="1:21">
      <c r="A136" s="51">
        <f t="shared" si="0"/>
        <v>0</v>
      </c>
      <c r="B136" s="82"/>
      <c r="C136" s="226">
        <f t="shared" si="1"/>
        <v>0</v>
      </c>
      <c r="D136" s="227"/>
      <c r="E136" s="227"/>
      <c r="F136" s="227"/>
      <c r="G136" s="228"/>
      <c r="H136" s="51">
        <f t="shared" ref="H136:O136" si="5">H18</f>
        <v>0</v>
      </c>
      <c r="I136" s="97">
        <f t="shared" si="5"/>
        <v>0</v>
      </c>
      <c r="J136" s="97">
        <f t="shared" si="5"/>
        <v>0</v>
      </c>
      <c r="K136" s="98">
        <f t="shared" si="5"/>
        <v>0</v>
      </c>
      <c r="L136" s="98">
        <f t="shared" si="5"/>
        <v>0</v>
      </c>
      <c r="M136" s="98">
        <f t="shared" si="5"/>
        <v>0</v>
      </c>
      <c r="N136" s="69">
        <v>0</v>
      </c>
      <c r="O136" s="218">
        <f t="shared" si="5"/>
        <v>0</v>
      </c>
      <c r="P136" s="219"/>
      <c r="Q136" s="163">
        <f>'state withhold'!J9</f>
        <v>0</v>
      </c>
      <c r="R136" s="165"/>
      <c r="S136" s="155">
        <f>'state withhold'!K9</f>
        <v>0</v>
      </c>
      <c r="T136" s="155"/>
      <c r="U136" s="155"/>
    </row>
    <row r="137" spans="1:21">
      <c r="A137" s="51">
        <f t="shared" si="0"/>
        <v>0</v>
      </c>
      <c r="B137" s="82"/>
      <c r="C137" s="226">
        <f t="shared" si="1"/>
        <v>0</v>
      </c>
      <c r="D137" s="227"/>
      <c r="E137" s="227"/>
      <c r="F137" s="227"/>
      <c r="G137" s="228"/>
      <c r="H137" s="51">
        <f t="shared" ref="H137:O137" si="6">H19</f>
        <v>0</v>
      </c>
      <c r="I137" s="97">
        <f t="shared" si="6"/>
        <v>0</v>
      </c>
      <c r="J137" s="97">
        <f t="shared" si="6"/>
        <v>0</v>
      </c>
      <c r="K137" s="98">
        <f t="shared" si="6"/>
        <v>0</v>
      </c>
      <c r="L137" s="98">
        <f t="shared" si="6"/>
        <v>0</v>
      </c>
      <c r="M137" s="98">
        <f t="shared" si="6"/>
        <v>0</v>
      </c>
      <c r="N137" s="69">
        <v>0</v>
      </c>
      <c r="O137" s="218">
        <f t="shared" si="6"/>
        <v>0</v>
      </c>
      <c r="P137" s="219"/>
      <c r="Q137" s="163">
        <f>'state withhold'!J10</f>
        <v>0</v>
      </c>
      <c r="R137" s="165"/>
      <c r="S137" s="155">
        <f>'state withhold'!K10</f>
        <v>0</v>
      </c>
      <c r="T137" s="155"/>
      <c r="U137" s="155"/>
    </row>
    <row r="139" spans="1:21" ht="63.75" customHeight="1">
      <c r="A139" s="77" t="s">
        <v>243</v>
      </c>
      <c r="B139" s="77" t="s">
        <v>284</v>
      </c>
      <c r="C139" s="192" t="s">
        <v>454</v>
      </c>
      <c r="D139" s="193"/>
      <c r="E139" s="193"/>
      <c r="F139" s="193"/>
      <c r="G139" s="194"/>
      <c r="H139" s="40" t="s">
        <v>145</v>
      </c>
      <c r="I139" s="41" t="s">
        <v>146</v>
      </c>
      <c r="J139" s="41" t="s">
        <v>278</v>
      </c>
      <c r="K139" s="41" t="s">
        <v>281</v>
      </c>
      <c r="L139" s="41" t="s">
        <v>282</v>
      </c>
      <c r="M139" s="41" t="s">
        <v>283</v>
      </c>
      <c r="N139" s="42" t="s">
        <v>148</v>
      </c>
      <c r="O139" s="195" t="s">
        <v>11</v>
      </c>
      <c r="P139" s="195"/>
      <c r="Q139" s="197" t="s">
        <v>207</v>
      </c>
      <c r="R139" s="197"/>
      <c r="S139" s="223" t="s">
        <v>208</v>
      </c>
      <c r="T139" s="224"/>
      <c r="U139" s="225"/>
    </row>
    <row r="140" spans="1:21">
      <c r="A140" s="51">
        <f>A33</f>
        <v>0</v>
      </c>
      <c r="B140" s="82"/>
      <c r="C140" s="226">
        <f>C33</f>
        <v>0</v>
      </c>
      <c r="D140" s="227"/>
      <c r="E140" s="227"/>
      <c r="F140" s="227"/>
      <c r="G140" s="228"/>
      <c r="H140" s="52">
        <f t="shared" ref="H140:K141" si="7">H33</f>
        <v>0</v>
      </c>
      <c r="I140" s="97">
        <f t="shared" si="7"/>
        <v>0</v>
      </c>
      <c r="J140" s="97">
        <f>J33</f>
        <v>0</v>
      </c>
      <c r="K140" s="130">
        <f t="shared" si="7"/>
        <v>0</v>
      </c>
      <c r="L140" s="131">
        <f t="shared" ref="L140:M144" si="8">L12</f>
        <v>0</v>
      </c>
      <c r="M140" s="131">
        <f t="shared" si="8"/>
        <v>0</v>
      </c>
      <c r="N140" s="69">
        <v>0</v>
      </c>
      <c r="O140" s="218">
        <f>O33</f>
        <v>0</v>
      </c>
      <c r="P140" s="219"/>
      <c r="Q140" s="163">
        <f>'state withhold'!J18</f>
        <v>0</v>
      </c>
      <c r="R140" s="165"/>
      <c r="S140" s="155">
        <f>'state withhold'!K18</f>
        <v>0</v>
      </c>
      <c r="T140" s="155"/>
      <c r="U140" s="155"/>
    </row>
    <row r="141" spans="1:21">
      <c r="A141" s="51">
        <f>A34</f>
        <v>0</v>
      </c>
      <c r="B141" s="82"/>
      <c r="C141" s="226">
        <f>C34</f>
        <v>0</v>
      </c>
      <c r="D141" s="227"/>
      <c r="E141" s="227"/>
      <c r="F141" s="227"/>
      <c r="G141" s="228"/>
      <c r="H141" s="52">
        <f t="shared" si="7"/>
        <v>0</v>
      </c>
      <c r="I141" s="97">
        <f t="shared" si="7"/>
        <v>0</v>
      </c>
      <c r="J141" s="97">
        <f>J34</f>
        <v>0</v>
      </c>
      <c r="K141" s="130">
        <f>K34</f>
        <v>0</v>
      </c>
      <c r="L141" s="131">
        <f t="shared" si="8"/>
        <v>0</v>
      </c>
      <c r="M141" s="130">
        <f t="shared" si="8"/>
        <v>0</v>
      </c>
      <c r="N141" s="69">
        <v>0</v>
      </c>
      <c r="O141" s="218">
        <f>O34</f>
        <v>0</v>
      </c>
      <c r="P141" s="219"/>
      <c r="Q141" s="163">
        <f>'state withhold'!J19</f>
        <v>0</v>
      </c>
      <c r="R141" s="165"/>
      <c r="S141" s="155">
        <f>'state withhold'!K19</f>
        <v>0</v>
      </c>
      <c r="T141" s="155"/>
      <c r="U141" s="155"/>
    </row>
    <row r="142" spans="1:21">
      <c r="A142" s="51">
        <f>A35</f>
        <v>0</v>
      </c>
      <c r="B142" s="82"/>
      <c r="C142" s="226">
        <f>C35</f>
        <v>0</v>
      </c>
      <c r="D142" s="227"/>
      <c r="E142" s="227"/>
      <c r="F142" s="227"/>
      <c r="G142" s="228"/>
      <c r="H142" s="52">
        <f t="shared" ref="H142:O142" si="9">H35</f>
        <v>0</v>
      </c>
      <c r="I142" s="97">
        <f t="shared" si="9"/>
        <v>0</v>
      </c>
      <c r="J142" s="97">
        <f t="shared" si="9"/>
        <v>0</v>
      </c>
      <c r="K142" s="130">
        <f t="shared" si="9"/>
        <v>0</v>
      </c>
      <c r="L142" s="130">
        <f t="shared" si="8"/>
        <v>0</v>
      </c>
      <c r="M142" s="130">
        <f t="shared" si="8"/>
        <v>0</v>
      </c>
      <c r="N142" s="69">
        <v>0</v>
      </c>
      <c r="O142" s="218">
        <f t="shared" si="9"/>
        <v>0</v>
      </c>
      <c r="P142" s="219"/>
      <c r="Q142" s="163">
        <f>'state withhold'!J20</f>
        <v>0</v>
      </c>
      <c r="R142" s="165"/>
      <c r="S142" s="155">
        <f>'state withhold'!K20</f>
        <v>0</v>
      </c>
      <c r="T142" s="155"/>
      <c r="U142" s="155"/>
    </row>
    <row r="143" spans="1:21">
      <c r="A143" s="51">
        <f>A36</f>
        <v>0</v>
      </c>
      <c r="B143" s="82"/>
      <c r="C143" s="226">
        <f>C36</f>
        <v>0</v>
      </c>
      <c r="D143" s="227"/>
      <c r="E143" s="227"/>
      <c r="F143" s="227"/>
      <c r="G143" s="228"/>
      <c r="H143" s="52">
        <f t="shared" ref="H143:O143" si="10">H36</f>
        <v>0</v>
      </c>
      <c r="I143" s="97">
        <f t="shared" si="10"/>
        <v>0</v>
      </c>
      <c r="J143" s="97">
        <f t="shared" si="10"/>
        <v>0</v>
      </c>
      <c r="K143" s="130">
        <f t="shared" si="10"/>
        <v>0</v>
      </c>
      <c r="L143" s="130">
        <f t="shared" si="8"/>
        <v>0</v>
      </c>
      <c r="M143" s="130">
        <f t="shared" si="8"/>
        <v>0</v>
      </c>
      <c r="N143" s="69">
        <v>0</v>
      </c>
      <c r="O143" s="218">
        <f t="shared" si="10"/>
        <v>0</v>
      </c>
      <c r="P143" s="219"/>
      <c r="Q143" s="163">
        <f>'state withhold'!J21</f>
        <v>0</v>
      </c>
      <c r="R143" s="165"/>
      <c r="S143" s="155">
        <f>'state withhold'!K21</f>
        <v>0</v>
      </c>
      <c r="T143" s="155"/>
      <c r="U143" s="155"/>
    </row>
    <row r="144" spans="1:21">
      <c r="A144" s="51">
        <f>A37</f>
        <v>0</v>
      </c>
      <c r="B144" s="82"/>
      <c r="C144" s="226">
        <f>C37</f>
        <v>0</v>
      </c>
      <c r="D144" s="227"/>
      <c r="E144" s="227"/>
      <c r="F144" s="227"/>
      <c r="G144" s="228"/>
      <c r="H144" s="52">
        <f t="shared" ref="H144:O144" si="11">H37</f>
        <v>0</v>
      </c>
      <c r="I144" s="97">
        <f t="shared" si="11"/>
        <v>0</v>
      </c>
      <c r="J144" s="97">
        <f t="shared" si="11"/>
        <v>0</v>
      </c>
      <c r="K144" s="130">
        <f t="shared" si="11"/>
        <v>0</v>
      </c>
      <c r="L144" s="130">
        <f t="shared" si="8"/>
        <v>0</v>
      </c>
      <c r="M144" s="130">
        <f t="shared" si="8"/>
        <v>0</v>
      </c>
      <c r="N144" s="69">
        <v>0</v>
      </c>
      <c r="O144" s="218">
        <f t="shared" si="11"/>
        <v>0</v>
      </c>
      <c r="P144" s="219"/>
      <c r="Q144" s="163">
        <f>'state withhold'!J22</f>
        <v>0</v>
      </c>
      <c r="R144" s="165"/>
      <c r="S144" s="155">
        <f>'state withhold'!K22</f>
        <v>0</v>
      </c>
      <c r="T144" s="155"/>
      <c r="U144" s="155"/>
    </row>
    <row r="145" spans="1:21">
      <c r="C145" t="s">
        <v>226</v>
      </c>
      <c r="S145" s="238">
        <f>SUM(S130:T144)</f>
        <v>0</v>
      </c>
      <c r="T145" s="238"/>
      <c r="U145" s="238"/>
    </row>
    <row r="146" spans="1:21">
      <c r="A146" s="6">
        <v>4</v>
      </c>
      <c r="B146" s="6"/>
      <c r="C146" s="8" t="s">
        <v>227</v>
      </c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>
        <v>4</v>
      </c>
      <c r="S146" s="238">
        <f>S65</f>
        <v>0</v>
      </c>
      <c r="T146" s="238"/>
      <c r="U146" s="238"/>
    </row>
    <row r="147" spans="1:21">
      <c r="A147" s="6">
        <v>5</v>
      </c>
      <c r="B147" s="6"/>
      <c r="C147" s="8" t="s">
        <v>228</v>
      </c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>
        <v>5</v>
      </c>
      <c r="S147" s="249"/>
      <c r="T147" s="249"/>
      <c r="U147" s="249"/>
    </row>
    <row r="148" spans="1:21">
      <c r="A148" s="6">
        <v>7</v>
      </c>
      <c r="B148" s="6"/>
      <c r="C148" s="8" t="s">
        <v>229</v>
      </c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>
        <v>7</v>
      </c>
      <c r="S148" s="238">
        <f>S25</f>
        <v>0</v>
      </c>
      <c r="T148" s="238"/>
      <c r="U148" s="238"/>
    </row>
    <row r="149" spans="1:21">
      <c r="A149" s="6">
        <v>8</v>
      </c>
      <c r="B149" s="6"/>
      <c r="C149" s="8" t="s">
        <v>457</v>
      </c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>
        <v>8</v>
      </c>
      <c r="S149" s="249"/>
      <c r="T149" s="249"/>
      <c r="U149" s="249"/>
    </row>
    <row r="150" spans="1:21">
      <c r="A150" s="6">
        <v>9</v>
      </c>
      <c r="B150" s="6"/>
      <c r="C150" s="8" t="s">
        <v>230</v>
      </c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>
        <v>9</v>
      </c>
      <c r="S150" s="238">
        <f>state!D13</f>
        <v>0</v>
      </c>
      <c r="T150" s="238"/>
      <c r="U150" s="238"/>
    </row>
    <row r="151" spans="1:21">
      <c r="A151" s="6">
        <v>10</v>
      </c>
      <c r="B151" s="6"/>
      <c r="C151" s="8" t="s">
        <v>462</v>
      </c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>
        <v>10</v>
      </c>
      <c r="S151" s="238">
        <f>state!D14</f>
        <v>0</v>
      </c>
      <c r="T151" s="238"/>
      <c r="U151" s="238"/>
    </row>
    <row r="152" spans="1:21">
      <c r="A152" s="6">
        <v>19</v>
      </c>
      <c r="B152" s="6"/>
      <c r="C152" s="8" t="s">
        <v>369</v>
      </c>
      <c r="R152" s="8">
        <v>19</v>
      </c>
      <c r="S152" s="238">
        <f>state!C22</f>
        <v>17652</v>
      </c>
      <c r="T152" s="238"/>
      <c r="U152" s="238"/>
    </row>
    <row r="153" spans="1:21">
      <c r="A153" s="6">
        <v>20</v>
      </c>
      <c r="B153" s="6"/>
      <c r="C153" s="8" t="s">
        <v>370</v>
      </c>
      <c r="R153" s="8">
        <v>20</v>
      </c>
      <c r="S153" s="238">
        <f>state!C25</f>
        <v>966</v>
      </c>
      <c r="T153" s="238"/>
      <c r="U153" s="238"/>
    </row>
    <row r="154" spans="1:21">
      <c r="A154" s="6">
        <v>22</v>
      </c>
      <c r="B154" s="6"/>
      <c r="C154" s="8" t="s">
        <v>371</v>
      </c>
      <c r="R154" s="8">
        <v>22</v>
      </c>
      <c r="S154" s="238">
        <f>state!D26</f>
        <v>0</v>
      </c>
      <c r="T154" s="238"/>
      <c r="U154" s="238"/>
    </row>
    <row r="155" spans="1:21">
      <c r="A155" s="6">
        <v>23</v>
      </c>
      <c r="B155" s="6"/>
      <c r="C155" s="8" t="s">
        <v>452</v>
      </c>
      <c r="R155" s="8">
        <v>23</v>
      </c>
      <c r="S155" s="238">
        <f>state!D31</f>
        <v>0</v>
      </c>
      <c r="T155" s="238"/>
      <c r="U155" s="238"/>
    </row>
    <row r="156" spans="1:21">
      <c r="A156" s="6">
        <v>24</v>
      </c>
      <c r="B156" s="6"/>
      <c r="C156" s="8" t="s">
        <v>371</v>
      </c>
      <c r="R156" s="8">
        <v>24</v>
      </c>
      <c r="S156" s="238">
        <f>state!D32</f>
        <v>0</v>
      </c>
      <c r="T156" s="238"/>
      <c r="U156" s="238"/>
    </row>
    <row r="157" spans="1:21">
      <c r="A157" s="11" t="s">
        <v>372</v>
      </c>
      <c r="B157" s="11"/>
      <c r="C157" s="8"/>
      <c r="R157" s="8">
        <v>42</v>
      </c>
      <c r="S157" s="247">
        <f>state!D34</f>
        <v>0</v>
      </c>
      <c r="T157" s="247"/>
      <c r="U157" s="247"/>
    </row>
    <row r="158" spans="1:21">
      <c r="A158" s="11" t="s">
        <v>373</v>
      </c>
      <c r="B158" s="11"/>
      <c r="C158" s="8"/>
      <c r="R158" s="8">
        <v>43</v>
      </c>
      <c r="S158" s="248">
        <f>state!D35</f>
        <v>0</v>
      </c>
      <c r="T158" s="248"/>
      <c r="U158" s="248"/>
    </row>
  </sheetData>
  <sheetProtection algorithmName="SHA-512" hashValue="RroAt04JNJQuifJZLMHBpU7OkTh2EGCInhmpDj5vJdWxXgmTZkjBKIdK8Tshrn1AAvNk1y7uAVcLVKBrdJxtGg==" saltValue="wjERuEl/nlfpccZ1Du2NJA==" spinCount="100000" sheet="1" selectLockedCells="1"/>
  <mergeCells count="274">
    <mergeCell ref="F78:G78"/>
    <mergeCell ref="I78:J78"/>
    <mergeCell ref="S155:U155"/>
    <mergeCell ref="S156:U156"/>
    <mergeCell ref="S157:U157"/>
    <mergeCell ref="S158:U158"/>
    <mergeCell ref="S144:U144"/>
    <mergeCell ref="S145:U145"/>
    <mergeCell ref="S146:U146"/>
    <mergeCell ref="S147:U147"/>
    <mergeCell ref="S150:U150"/>
    <mergeCell ref="S151:U151"/>
    <mergeCell ref="S152:U152"/>
    <mergeCell ref="S153:U153"/>
    <mergeCell ref="S154:U154"/>
    <mergeCell ref="S148:U148"/>
    <mergeCell ref="S149:U149"/>
    <mergeCell ref="C144:G144"/>
    <mergeCell ref="O144:P144"/>
    <mergeCell ref="Q144:R144"/>
    <mergeCell ref="C143:G143"/>
    <mergeCell ref="O143:P143"/>
    <mergeCell ref="Q143:R143"/>
    <mergeCell ref="O131:P131"/>
    <mergeCell ref="H77:I77"/>
    <mergeCell ref="I72:J72"/>
    <mergeCell ref="S65:U65"/>
    <mergeCell ref="S62:U62"/>
    <mergeCell ref="S139:U139"/>
    <mergeCell ref="S140:U140"/>
    <mergeCell ref="S141:U141"/>
    <mergeCell ref="S142:U142"/>
    <mergeCell ref="S143:U143"/>
    <mergeCell ref="S133:U133"/>
    <mergeCell ref="S118:U118"/>
    <mergeCell ref="A128:U128"/>
    <mergeCell ref="S121:U121"/>
    <mergeCell ref="S122:U122"/>
    <mergeCell ref="S97:U97"/>
    <mergeCell ref="S101:U101"/>
    <mergeCell ref="S124:U124"/>
    <mergeCell ref="S125:U125"/>
    <mergeCell ref="S130:U130"/>
    <mergeCell ref="S131:U131"/>
    <mergeCell ref="S132:U132"/>
    <mergeCell ref="S115:U115"/>
    <mergeCell ref="C140:G140"/>
    <mergeCell ref="O140:P140"/>
    <mergeCell ref="J73:K73"/>
    <mergeCell ref="L77:M77"/>
    <mergeCell ref="S106:U106"/>
    <mergeCell ref="S107:U107"/>
    <mergeCell ref="S98:U98"/>
    <mergeCell ref="S99:U99"/>
    <mergeCell ref="S112:U112"/>
    <mergeCell ref="S104:U104"/>
    <mergeCell ref="S91:U91"/>
    <mergeCell ref="S111:U111"/>
    <mergeCell ref="I85:J85"/>
    <mergeCell ref="S85:U85"/>
    <mergeCell ref="I86:J86"/>
    <mergeCell ref="S86:U86"/>
    <mergeCell ref="I87:J87"/>
    <mergeCell ref="S87:U87"/>
    <mergeCell ref="S88:U88"/>
    <mergeCell ref="S96:U96"/>
    <mergeCell ref="S75:U75"/>
    <mergeCell ref="S81:U81"/>
    <mergeCell ref="O77:P77"/>
    <mergeCell ref="S78:U78"/>
    <mergeCell ref="S83:U83"/>
    <mergeCell ref="S93:U93"/>
    <mergeCell ref="I62:J62"/>
    <mergeCell ref="S56:U56"/>
    <mergeCell ref="S54:U54"/>
    <mergeCell ref="C43:I43"/>
    <mergeCell ref="S29:U29"/>
    <mergeCell ref="S30:U30"/>
    <mergeCell ref="S26:U26"/>
    <mergeCell ref="C42:N42"/>
    <mergeCell ref="S67:U67"/>
    <mergeCell ref="K45:N45"/>
    <mergeCell ref="S55:U55"/>
    <mergeCell ref="S58:U58"/>
    <mergeCell ref="S59:U59"/>
    <mergeCell ref="S57:U57"/>
    <mergeCell ref="K46:N46"/>
    <mergeCell ref="S40:U40"/>
    <mergeCell ref="Q37:R37"/>
    <mergeCell ref="S44:U44"/>
    <mergeCell ref="S45:U45"/>
    <mergeCell ref="Q34:R34"/>
    <mergeCell ref="Q36:R36"/>
    <mergeCell ref="S27:U27"/>
    <mergeCell ref="S28:U28"/>
    <mergeCell ref="J48:K48"/>
    <mergeCell ref="K23:L23"/>
    <mergeCell ref="K24:L24"/>
    <mergeCell ref="G29:H29"/>
    <mergeCell ref="L29:M29"/>
    <mergeCell ref="N27:P28"/>
    <mergeCell ref="L27:M27"/>
    <mergeCell ref="L28:M28"/>
    <mergeCell ref="C44:I44"/>
    <mergeCell ref="O32:P32"/>
    <mergeCell ref="O37:P37"/>
    <mergeCell ref="F24:G24"/>
    <mergeCell ref="C130:G130"/>
    <mergeCell ref="O130:P130"/>
    <mergeCell ref="S119:U119"/>
    <mergeCell ref="S120:U120"/>
    <mergeCell ref="C135:G135"/>
    <mergeCell ref="C137:G137"/>
    <mergeCell ref="C134:G134"/>
    <mergeCell ref="O134:P134"/>
    <mergeCell ref="Q131:R131"/>
    <mergeCell ref="C129:G129"/>
    <mergeCell ref="O129:P129"/>
    <mergeCell ref="Q129:R129"/>
    <mergeCell ref="C136:G136"/>
    <mergeCell ref="C132:G132"/>
    <mergeCell ref="C133:G133"/>
    <mergeCell ref="O136:P136"/>
    <mergeCell ref="Q136:R136"/>
    <mergeCell ref="Q134:R134"/>
    <mergeCell ref="C131:G131"/>
    <mergeCell ref="O135:P135"/>
    <mergeCell ref="Q140:R140"/>
    <mergeCell ref="C142:G142"/>
    <mergeCell ref="O142:P142"/>
    <mergeCell ref="C141:G141"/>
    <mergeCell ref="O141:P141"/>
    <mergeCell ref="Q141:R141"/>
    <mergeCell ref="Q142:R142"/>
    <mergeCell ref="C139:G139"/>
    <mergeCell ref="Q133:R133"/>
    <mergeCell ref="O137:P137"/>
    <mergeCell ref="S126:U126"/>
    <mergeCell ref="S134:U134"/>
    <mergeCell ref="S135:U135"/>
    <mergeCell ref="S136:U136"/>
    <mergeCell ref="S137:U137"/>
    <mergeCell ref="Q137:R137"/>
    <mergeCell ref="S94:U94"/>
    <mergeCell ref="O139:P139"/>
    <mergeCell ref="S109:U109"/>
    <mergeCell ref="S108:U108"/>
    <mergeCell ref="Q139:R139"/>
    <mergeCell ref="S129:U129"/>
    <mergeCell ref="Q130:R130"/>
    <mergeCell ref="S110:U110"/>
    <mergeCell ref="Q135:R135"/>
    <mergeCell ref="O132:P132"/>
    <mergeCell ref="Q132:R132"/>
    <mergeCell ref="O133:P133"/>
    <mergeCell ref="S90:U90"/>
    <mergeCell ref="O117:P117"/>
    <mergeCell ref="S116:U116"/>
    <mergeCell ref="S117:U117"/>
    <mergeCell ref="S123:U123"/>
    <mergeCell ref="S102:U102"/>
    <mergeCell ref="S103:U103"/>
    <mergeCell ref="P97:Q97"/>
    <mergeCell ref="S100:U100"/>
    <mergeCell ref="S127:U127"/>
    <mergeCell ref="S52:U52"/>
    <mergeCell ref="S49:U49"/>
    <mergeCell ref="S53:U53"/>
    <mergeCell ref="S50:U50"/>
    <mergeCell ref="S61:U61"/>
    <mergeCell ref="S72:U72"/>
    <mergeCell ref="S73:U73"/>
    <mergeCell ref="S77:U77"/>
    <mergeCell ref="S92:U92"/>
    <mergeCell ref="S80:U80"/>
    <mergeCell ref="S89:U89"/>
    <mergeCell ref="S84:U84"/>
    <mergeCell ref="S114:U114"/>
    <mergeCell ref="A1:U1"/>
    <mergeCell ref="E4:H4"/>
    <mergeCell ref="E5:H5"/>
    <mergeCell ref="C12:G12"/>
    <mergeCell ref="O11:P11"/>
    <mergeCell ref="O12:P12"/>
    <mergeCell ref="Q11:R11"/>
    <mergeCell ref="C11:G11"/>
    <mergeCell ref="L5:O5"/>
    <mergeCell ref="I2:K2"/>
    <mergeCell ref="A3:O3"/>
    <mergeCell ref="Q4:T4"/>
    <mergeCell ref="Q5:T5"/>
    <mergeCell ref="A2:B2"/>
    <mergeCell ref="S2:U2"/>
    <mergeCell ref="S3:U3"/>
    <mergeCell ref="Q12:R12"/>
    <mergeCell ref="C2:H2"/>
    <mergeCell ref="O13:P13"/>
    <mergeCell ref="O35:P35"/>
    <mergeCell ref="O33:P33"/>
    <mergeCell ref="S32:U32"/>
    <mergeCell ref="P73:Q73"/>
    <mergeCell ref="C18:G18"/>
    <mergeCell ref="C32:F32"/>
    <mergeCell ref="C33:F33"/>
    <mergeCell ref="C34:F34"/>
    <mergeCell ref="Q35:R35"/>
    <mergeCell ref="S34:U34"/>
    <mergeCell ref="O34:P34"/>
    <mergeCell ref="O18:P18"/>
    <mergeCell ref="Q15:R15"/>
    <mergeCell ref="O15:P15"/>
    <mergeCell ref="Q18:R18"/>
    <mergeCell ref="C19:G19"/>
    <mergeCell ref="S23:U23"/>
    <mergeCell ref="S35:U35"/>
    <mergeCell ref="S21:U21"/>
    <mergeCell ref="S22:U22"/>
    <mergeCell ref="Q33:R33"/>
    <mergeCell ref="Q32:R32"/>
    <mergeCell ref="Q19:R19"/>
    <mergeCell ref="O19:P19"/>
    <mergeCell ref="L4:O4"/>
    <mergeCell ref="I4:K4"/>
    <mergeCell ref="I5:K5"/>
    <mergeCell ref="Q13:R13"/>
    <mergeCell ref="E7:Q7"/>
    <mergeCell ref="A9:P9"/>
    <mergeCell ref="E6:Q6"/>
    <mergeCell ref="O16:P16"/>
    <mergeCell ref="O17:P17"/>
    <mergeCell ref="Q16:R16"/>
    <mergeCell ref="Q17:R17"/>
    <mergeCell ref="C14:G14"/>
    <mergeCell ref="C16:G16"/>
    <mergeCell ref="C15:G15"/>
    <mergeCell ref="C17:G17"/>
    <mergeCell ref="R6:U8"/>
    <mergeCell ref="R9:T9"/>
    <mergeCell ref="C13:G13"/>
    <mergeCell ref="Q14:R14"/>
    <mergeCell ref="O14:P14"/>
    <mergeCell ref="S19:U19"/>
    <mergeCell ref="S14:U14"/>
    <mergeCell ref="S15:U15"/>
    <mergeCell ref="S17:U17"/>
    <mergeCell ref="S11:U11"/>
    <mergeCell ref="S12:U12"/>
    <mergeCell ref="S13:U13"/>
    <mergeCell ref="S18:U18"/>
    <mergeCell ref="S16:U16"/>
    <mergeCell ref="S24:U24"/>
    <mergeCell ref="C36:F36"/>
    <mergeCell ref="C37:F37"/>
    <mergeCell ref="C35:F35"/>
    <mergeCell ref="S66:U66"/>
    <mergeCell ref="S79:U79"/>
    <mergeCell ref="S63:U63"/>
    <mergeCell ref="S41:U41"/>
    <mergeCell ref="S43:U43"/>
    <mergeCell ref="S42:U42"/>
    <mergeCell ref="S37:U37"/>
    <mergeCell ref="S74:U74"/>
    <mergeCell ref="O36:P36"/>
    <mergeCell ref="S36:U36"/>
    <mergeCell ref="F72:G72"/>
    <mergeCell ref="S25:U25"/>
    <mergeCell ref="S33:U33"/>
    <mergeCell ref="S76:U76"/>
    <mergeCell ref="S47:U47"/>
    <mergeCell ref="S48:U48"/>
    <mergeCell ref="S46:U46"/>
    <mergeCell ref="S68:U68"/>
    <mergeCell ref="S64:U64"/>
    <mergeCell ref="S60:U60"/>
  </mergeCells>
  <conditionalFormatting sqref="I2:K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S2:U2">
    <cfRule type="cellIs" dxfId="1" priority="1" operator="greaterThan">
      <formula>0</formula>
    </cfRule>
    <cfRule type="cellIs" dxfId="0" priority="2" operator="lessThan">
      <formula>0</formula>
    </cfRule>
  </conditionalFormatting>
  <dataValidations count="5">
    <dataValidation type="list" allowBlank="1" showInputMessage="1" showErrorMessage="1" sqref="Q8" xr:uid="{00000000-0002-0000-0000-000000000000}">
      <formula1>status</formula1>
    </dataValidation>
    <dataValidation type="list" allowBlank="1" showInputMessage="1" showErrorMessage="1" sqref="Q9" xr:uid="{00000000-0002-0000-0000-000001000000}">
      <formula1>Blind</formula1>
    </dataValidation>
    <dataValidation type="list" allowBlank="1" showInputMessage="1" showErrorMessage="1" sqref="H12:H19 H33:H37" xr:uid="{00000000-0002-0000-0000-000002000000}">
      <formula1>payperiod</formula1>
    </dataValidation>
    <dataValidation type="whole" allowBlank="1" showInputMessage="1" showErrorMessage="1" prompt="Enter a number between 0 and 2_x000a_" sqref="H97" xr:uid="{00000000-0002-0000-0000-000004000000}">
      <formula1>0</formula1>
      <formula2>2</formula2>
    </dataValidation>
    <dataValidation type="whole" allowBlank="1" showInputMessage="1" showErrorMessage="1" sqref="L116" xr:uid="{00000000-0002-0000-0000-000005000000}">
      <formula1>0</formula1>
      <formula2>3</formula2>
    </dataValidation>
  </dataValidations>
  <pageMargins left="0.25" right="0.25" top="0.25" bottom="0.25" header="0.3" footer="0.3"/>
  <pageSetup orientation="portrait" r:id="rId1"/>
  <rowBreaks count="1" manualBreakCount="1">
    <brk id="127" max="16383" man="1"/>
  </row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3000000}">
          <x14:formula1>
            <xm:f>lists!$D$2:$D$4</xm:f>
          </x14:formula1>
          <xm:sqref>J12:J19 J33:J37</xm:sqref>
        </x14:dataValidation>
        <x14:dataValidation type="list" allowBlank="1" showInputMessage="1" showErrorMessage="1" xr:uid="{00000000-0002-0000-0000-000006000000}">
          <x14:formula1>
            <xm:f>lists!$E$2:$E$3</xm:f>
          </x14:formula1>
          <xm:sqref>A12:A19 A33:A37</xm:sqref>
        </x14:dataValidation>
        <x14:dataValidation type="list" allowBlank="1" showInputMessage="1" showErrorMessage="1" xr:uid="{A650490D-8BD3-45CE-8101-C8410E0B0FE2}">
          <x14:formula1>
            <xm:f>lists!$I$2:$I$3</xm:f>
          </x14:formula1>
          <xm:sqref>B12:B19 B33:B37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X22"/>
  <sheetViews>
    <sheetView workbookViewId="0">
      <selection activeCell="N3" sqref="N3"/>
    </sheetView>
  </sheetViews>
  <sheetFormatPr defaultRowHeight="15"/>
  <cols>
    <col min="1" max="1" width="5.85546875" bestFit="1" customWidth="1"/>
    <col min="2" max="2" width="28.7109375" customWidth="1"/>
    <col min="5" max="5" width="5.85546875" bestFit="1" customWidth="1"/>
    <col min="6" max="6" width="7.28515625" customWidth="1"/>
    <col min="7" max="7" width="7" bestFit="1" customWidth="1"/>
    <col min="8" max="9" width="13.85546875" customWidth="1"/>
    <col min="10" max="10" width="12.140625" customWidth="1"/>
    <col min="11" max="11" width="12.28515625" customWidth="1"/>
    <col min="24" max="24" width="10.5703125" bestFit="1" customWidth="1"/>
  </cols>
  <sheetData>
    <row r="1" spans="1:24">
      <c r="B1" t="s">
        <v>95</v>
      </c>
      <c r="C1">
        <f>'1040 W4 PLANNER 2026'!Q8</f>
        <v>1</v>
      </c>
      <c r="K1" s="34">
        <v>2026</v>
      </c>
      <c r="M1" t="s">
        <v>415</v>
      </c>
    </row>
    <row r="2" spans="1:24" ht="63.75">
      <c r="A2" s="9" t="s">
        <v>7</v>
      </c>
      <c r="B2" s="9" t="s">
        <v>46</v>
      </c>
      <c r="C2" s="40" t="s">
        <v>145</v>
      </c>
      <c r="D2" s="40" t="s">
        <v>146</v>
      </c>
      <c r="E2" s="41" t="s">
        <v>147</v>
      </c>
      <c r="F2" s="41" t="s">
        <v>38</v>
      </c>
      <c r="G2" s="42" t="s">
        <v>148</v>
      </c>
      <c r="H2" s="10" t="s">
        <v>11</v>
      </c>
      <c r="I2" s="10" t="s">
        <v>209</v>
      </c>
      <c r="J2" s="10" t="s">
        <v>207</v>
      </c>
      <c r="K2" s="10" t="s">
        <v>208</v>
      </c>
      <c r="M2">
        <v>1</v>
      </c>
      <c r="N2">
        <v>2</v>
      </c>
      <c r="O2">
        <v>3</v>
      </c>
      <c r="P2">
        <v>4</v>
      </c>
      <c r="Q2">
        <v>4</v>
      </c>
      <c r="R2">
        <v>5</v>
      </c>
      <c r="S2">
        <v>6</v>
      </c>
      <c r="T2">
        <v>7</v>
      </c>
      <c r="U2" t="s">
        <v>273</v>
      </c>
      <c r="V2" t="s">
        <v>272</v>
      </c>
      <c r="W2" t="s">
        <v>274</v>
      </c>
      <c r="X2" t="s">
        <v>275</v>
      </c>
    </row>
    <row r="3" spans="1:24">
      <c r="A3" s="58" t="str">
        <f>'1040 W4 PLANNER 2026'!A130</f>
        <v>T</v>
      </c>
      <c r="B3" s="59">
        <f>'1040 W4 PLANNER 2026'!C12</f>
        <v>0</v>
      </c>
      <c r="C3" s="58">
        <f>'1040 W4 PLANNER 2026'!H130</f>
        <v>0</v>
      </c>
      <c r="D3" s="58">
        <f>'1040 W4 PLANNER 2026'!I130</f>
        <v>0</v>
      </c>
      <c r="E3" s="58">
        <f>'1040 W4 PLANNER 2026'!J130</f>
        <v>0</v>
      </c>
      <c r="F3" s="58">
        <f>'1040 W4 PLANNER 2026'!K130</f>
        <v>0</v>
      </c>
      <c r="G3" s="54">
        <f>'1040 W4 PLANNER 2026'!N130</f>
        <v>0</v>
      </c>
      <c r="H3" s="56">
        <f>'1040 W4 PLANNER 2026'!O130</f>
        <v>0</v>
      </c>
      <c r="I3" s="56">
        <f>H3*C3</f>
        <v>0</v>
      </c>
      <c r="J3" s="62">
        <f>W3</f>
        <v>0</v>
      </c>
      <c r="K3" s="62">
        <f>X3</f>
        <v>0</v>
      </c>
      <c r="M3" s="61">
        <f>I3</f>
        <v>0</v>
      </c>
      <c r="N3" s="61">
        <f>M3*0.045</f>
        <v>0</v>
      </c>
      <c r="O3" s="61">
        <f>IF(E3="m",900,450)</f>
        <v>450</v>
      </c>
      <c r="P3" s="61">
        <f>IF(E3="m",18213,9107)</f>
        <v>9107</v>
      </c>
      <c r="Q3" s="61">
        <f>IF(M3-P3&lt;0,0,M3-P3)</f>
        <v>0</v>
      </c>
      <c r="R3" s="61">
        <f>Q3*0.013</f>
        <v>0</v>
      </c>
      <c r="S3" s="61">
        <f>IF(O3-R3&lt;0,0,O3-R3)</f>
        <v>450</v>
      </c>
      <c r="T3" s="61">
        <f>IF(N3-S3&lt;0,0,N3-S3)</f>
        <v>0</v>
      </c>
      <c r="U3" s="20">
        <f>IF(C3&gt;0,T3/C3,0)</f>
        <v>0</v>
      </c>
      <c r="V3" s="19">
        <f>G3</f>
        <v>0</v>
      </c>
      <c r="W3" s="20">
        <f>V3+U3</f>
        <v>0</v>
      </c>
      <c r="X3" s="20">
        <f>W3*D3</f>
        <v>0</v>
      </c>
    </row>
    <row r="4" spans="1:24">
      <c r="A4" s="58" t="str">
        <f>'1040 W4 PLANNER 2026'!A131</f>
        <v>T</v>
      </c>
      <c r="B4" s="59">
        <f>'1040 W4 PLANNER 2026'!C13</f>
        <v>0</v>
      </c>
      <c r="C4" s="58">
        <f>'1040 W4 PLANNER 2026'!H131</f>
        <v>0</v>
      </c>
      <c r="D4" s="58">
        <f>'1040 W4 PLANNER 2026'!I131</f>
        <v>0</v>
      </c>
      <c r="E4" s="58">
        <f>'1040 W4 PLANNER 2026'!J131</f>
        <v>0</v>
      </c>
      <c r="F4" s="58">
        <f>'1040 W4 PLANNER 2026'!K131</f>
        <v>0</v>
      </c>
      <c r="G4" s="54">
        <f>'1040 W4 PLANNER 2026'!N131</f>
        <v>0</v>
      </c>
      <c r="H4" s="56">
        <f>'1040 W4 PLANNER 2026'!O131</f>
        <v>0</v>
      </c>
      <c r="I4" s="56">
        <f t="shared" ref="I4:I10" si="0">H4*C4</f>
        <v>0</v>
      </c>
      <c r="J4" s="62">
        <f t="shared" ref="J4:J10" si="1">W4</f>
        <v>0</v>
      </c>
      <c r="K4" s="62">
        <f t="shared" ref="K4:K10" si="2">X4</f>
        <v>0</v>
      </c>
      <c r="M4" s="61">
        <f t="shared" ref="M4:M10" si="3">I4</f>
        <v>0</v>
      </c>
      <c r="N4" s="61">
        <f t="shared" ref="N4:N10" si="4">M4*0.045</f>
        <v>0</v>
      </c>
      <c r="O4" s="61">
        <f t="shared" ref="O4:O10" si="5">IF(E4="m",900,450)</f>
        <v>450</v>
      </c>
      <c r="P4" s="61">
        <f t="shared" ref="P4:P10" si="6">IF(E4="m",18213,9107)</f>
        <v>9107</v>
      </c>
      <c r="Q4" s="61">
        <f t="shared" ref="Q4:Q10" si="7">IF(M4-P4&lt;0,0,M4-P4)</f>
        <v>0</v>
      </c>
      <c r="R4" s="61">
        <f t="shared" ref="R4:R10" si="8">Q4*0.013</f>
        <v>0</v>
      </c>
      <c r="S4" s="61">
        <f t="shared" ref="S4:S10" si="9">IF(O4-R4&lt;0,0,O4-R4)</f>
        <v>450</v>
      </c>
      <c r="T4" s="61">
        <f t="shared" ref="T4:T10" si="10">IF(N4-S4&lt;0,0,N4-S4)</f>
        <v>0</v>
      </c>
      <c r="U4" s="20">
        <f t="shared" ref="U4:U10" si="11">IF(C4&gt;0,T4/C4,0)</f>
        <v>0</v>
      </c>
      <c r="V4" s="19">
        <f t="shared" ref="V4:V10" si="12">G4</f>
        <v>0</v>
      </c>
      <c r="W4" s="20">
        <f t="shared" ref="W4:W10" si="13">V4+U4</f>
        <v>0</v>
      </c>
      <c r="X4" s="20">
        <f t="shared" ref="X4:X10" si="14">W4*D4</f>
        <v>0</v>
      </c>
    </row>
    <row r="5" spans="1:24">
      <c r="A5" s="60">
        <f>'1040 W4 PLANNER 2026'!A132</f>
        <v>0</v>
      </c>
      <c r="B5" s="59">
        <f>'1040 W4 PLANNER 2026'!C14</f>
        <v>0</v>
      </c>
      <c r="C5" s="60">
        <f>'1040 W4 PLANNER 2026'!H132</f>
        <v>0</v>
      </c>
      <c r="D5" s="60">
        <f>'1040 W4 PLANNER 2026'!I132</f>
        <v>0</v>
      </c>
      <c r="E5" s="60">
        <f>'1040 W4 PLANNER 2026'!J132</f>
        <v>0</v>
      </c>
      <c r="F5" s="60">
        <f>'1040 W4 PLANNER 2026'!K132</f>
        <v>0</v>
      </c>
      <c r="G5" s="60">
        <f>'1040 W4 PLANNER 2026'!N132</f>
        <v>0</v>
      </c>
      <c r="H5" s="59">
        <f>'1040 W4 PLANNER 2026'!O132</f>
        <v>0</v>
      </c>
      <c r="I5" s="56">
        <f t="shared" si="0"/>
        <v>0</v>
      </c>
      <c r="J5" s="62">
        <f t="shared" si="1"/>
        <v>0</v>
      </c>
      <c r="K5" s="62">
        <f t="shared" si="2"/>
        <v>0</v>
      </c>
      <c r="M5" s="61">
        <f t="shared" si="3"/>
        <v>0</v>
      </c>
      <c r="N5" s="61">
        <f t="shared" si="4"/>
        <v>0</v>
      </c>
      <c r="O5" s="61">
        <f t="shared" si="5"/>
        <v>450</v>
      </c>
      <c r="P5" s="61">
        <f t="shared" si="6"/>
        <v>9107</v>
      </c>
      <c r="Q5" s="61">
        <f t="shared" si="7"/>
        <v>0</v>
      </c>
      <c r="R5" s="61">
        <f t="shared" si="8"/>
        <v>0</v>
      </c>
      <c r="S5" s="61">
        <f t="shared" si="9"/>
        <v>450</v>
      </c>
      <c r="T5" s="61">
        <f t="shared" si="10"/>
        <v>0</v>
      </c>
      <c r="U5" s="20">
        <f t="shared" si="11"/>
        <v>0</v>
      </c>
      <c r="V5" s="19">
        <f t="shared" si="12"/>
        <v>0</v>
      </c>
      <c r="W5" s="20">
        <f t="shared" si="13"/>
        <v>0</v>
      </c>
      <c r="X5" s="20">
        <f t="shared" si="14"/>
        <v>0</v>
      </c>
    </row>
    <row r="6" spans="1:24">
      <c r="A6" s="60">
        <f>'1040 W4 PLANNER 2026'!A133</f>
        <v>0</v>
      </c>
      <c r="B6" s="59">
        <f>'1040 W4 PLANNER 2026'!C15</f>
        <v>0</v>
      </c>
      <c r="C6" s="60">
        <f>'1040 W4 PLANNER 2026'!H133</f>
        <v>0</v>
      </c>
      <c r="D6" s="60">
        <f>'1040 W4 PLANNER 2026'!I133</f>
        <v>0</v>
      </c>
      <c r="E6" s="60">
        <f>'1040 W4 PLANNER 2026'!J133</f>
        <v>0</v>
      </c>
      <c r="F6" s="60">
        <f>'1040 W4 PLANNER 2026'!K133</f>
        <v>0</v>
      </c>
      <c r="G6" s="60">
        <f>'1040 W4 PLANNER 2026'!N133</f>
        <v>0</v>
      </c>
      <c r="H6" s="59">
        <f>'1040 W4 PLANNER 2026'!O133</f>
        <v>0</v>
      </c>
      <c r="I6" s="56">
        <f t="shared" si="0"/>
        <v>0</v>
      </c>
      <c r="J6" s="62">
        <f t="shared" si="1"/>
        <v>0</v>
      </c>
      <c r="K6" s="62">
        <f t="shared" si="2"/>
        <v>0</v>
      </c>
      <c r="M6" s="61">
        <f t="shared" si="3"/>
        <v>0</v>
      </c>
      <c r="N6" s="61">
        <f t="shared" si="4"/>
        <v>0</v>
      </c>
      <c r="O6" s="61">
        <f t="shared" si="5"/>
        <v>450</v>
      </c>
      <c r="P6" s="61">
        <f t="shared" si="6"/>
        <v>9107</v>
      </c>
      <c r="Q6" s="61">
        <f t="shared" si="7"/>
        <v>0</v>
      </c>
      <c r="R6" s="61">
        <f t="shared" si="8"/>
        <v>0</v>
      </c>
      <c r="S6" s="61">
        <f t="shared" si="9"/>
        <v>450</v>
      </c>
      <c r="T6" s="61">
        <f t="shared" si="10"/>
        <v>0</v>
      </c>
      <c r="U6" s="20">
        <f t="shared" si="11"/>
        <v>0</v>
      </c>
      <c r="V6" s="19">
        <f t="shared" si="12"/>
        <v>0</v>
      </c>
      <c r="W6" s="20">
        <f t="shared" si="13"/>
        <v>0</v>
      </c>
      <c r="X6" s="20">
        <f t="shared" si="14"/>
        <v>0</v>
      </c>
    </row>
    <row r="7" spans="1:24">
      <c r="A7" s="60">
        <f>'1040 W4 PLANNER 2026'!A134</f>
        <v>0</v>
      </c>
      <c r="B7" s="59">
        <f>'1040 W4 PLANNER 2026'!C16</f>
        <v>0</v>
      </c>
      <c r="C7" s="60">
        <f>'1040 W4 PLANNER 2026'!H134</f>
        <v>0</v>
      </c>
      <c r="D7" s="60">
        <f>'1040 W4 PLANNER 2026'!I134</f>
        <v>0</v>
      </c>
      <c r="E7" s="60">
        <f>'1040 W4 PLANNER 2026'!J134</f>
        <v>0</v>
      </c>
      <c r="F7" s="60">
        <f>'1040 W4 PLANNER 2026'!K134</f>
        <v>0</v>
      </c>
      <c r="G7" s="60">
        <f>'1040 W4 PLANNER 2026'!N134</f>
        <v>0</v>
      </c>
      <c r="H7" s="59">
        <f>'1040 W4 PLANNER 2026'!O134</f>
        <v>0</v>
      </c>
      <c r="I7" s="56">
        <f t="shared" si="0"/>
        <v>0</v>
      </c>
      <c r="J7" s="62">
        <f t="shared" si="1"/>
        <v>0</v>
      </c>
      <c r="K7" s="62">
        <f t="shared" si="2"/>
        <v>0</v>
      </c>
      <c r="M7" s="61">
        <f t="shared" si="3"/>
        <v>0</v>
      </c>
      <c r="N7" s="61">
        <f t="shared" si="4"/>
        <v>0</v>
      </c>
      <c r="O7" s="61">
        <f t="shared" si="5"/>
        <v>450</v>
      </c>
      <c r="P7" s="61">
        <f t="shared" si="6"/>
        <v>9107</v>
      </c>
      <c r="Q7" s="61">
        <f t="shared" si="7"/>
        <v>0</v>
      </c>
      <c r="R7" s="61">
        <f t="shared" si="8"/>
        <v>0</v>
      </c>
      <c r="S7" s="61">
        <f t="shared" si="9"/>
        <v>450</v>
      </c>
      <c r="T7" s="61">
        <f t="shared" si="10"/>
        <v>0</v>
      </c>
      <c r="U7" s="20">
        <f t="shared" si="11"/>
        <v>0</v>
      </c>
      <c r="V7" s="19">
        <f t="shared" si="12"/>
        <v>0</v>
      </c>
      <c r="W7" s="20">
        <f t="shared" si="13"/>
        <v>0</v>
      </c>
      <c r="X7" s="20">
        <f t="shared" si="14"/>
        <v>0</v>
      </c>
    </row>
    <row r="8" spans="1:24">
      <c r="A8" s="60">
        <f>'1040 W4 PLANNER 2026'!A135</f>
        <v>0</v>
      </c>
      <c r="B8" s="59">
        <f>'1040 W4 PLANNER 2026'!C17</f>
        <v>0</v>
      </c>
      <c r="C8" s="60">
        <f>'1040 W4 PLANNER 2026'!H135</f>
        <v>0</v>
      </c>
      <c r="D8" s="60">
        <f>'1040 W4 PLANNER 2026'!I135</f>
        <v>0</v>
      </c>
      <c r="E8" s="60">
        <f>'1040 W4 PLANNER 2026'!J135</f>
        <v>0</v>
      </c>
      <c r="F8" s="60">
        <f>'1040 W4 PLANNER 2026'!K135</f>
        <v>0</v>
      </c>
      <c r="G8" s="60">
        <f>'1040 W4 PLANNER 2026'!N135</f>
        <v>0</v>
      </c>
      <c r="H8" s="59">
        <f>'1040 W4 PLANNER 2026'!O135</f>
        <v>0</v>
      </c>
      <c r="I8" s="56">
        <f t="shared" si="0"/>
        <v>0</v>
      </c>
      <c r="J8" s="62">
        <f t="shared" si="1"/>
        <v>0</v>
      </c>
      <c r="K8" s="62">
        <f t="shared" si="2"/>
        <v>0</v>
      </c>
      <c r="M8" s="61">
        <f t="shared" si="3"/>
        <v>0</v>
      </c>
      <c r="N8" s="61">
        <f t="shared" si="4"/>
        <v>0</v>
      </c>
      <c r="O8" s="61">
        <f t="shared" si="5"/>
        <v>450</v>
      </c>
      <c r="P8" s="61">
        <f t="shared" si="6"/>
        <v>9107</v>
      </c>
      <c r="Q8" s="61">
        <f t="shared" si="7"/>
        <v>0</v>
      </c>
      <c r="R8" s="61">
        <f t="shared" si="8"/>
        <v>0</v>
      </c>
      <c r="S8" s="61">
        <f t="shared" si="9"/>
        <v>450</v>
      </c>
      <c r="T8" s="61">
        <f t="shared" si="10"/>
        <v>0</v>
      </c>
      <c r="U8" s="20">
        <f t="shared" si="11"/>
        <v>0</v>
      </c>
      <c r="V8" s="19">
        <f t="shared" si="12"/>
        <v>0</v>
      </c>
      <c r="W8" s="20">
        <f t="shared" si="13"/>
        <v>0</v>
      </c>
      <c r="X8" s="20">
        <f t="shared" si="14"/>
        <v>0</v>
      </c>
    </row>
    <row r="9" spans="1:24">
      <c r="A9" s="60">
        <f>'1040 W4 PLANNER 2026'!A136</f>
        <v>0</v>
      </c>
      <c r="B9" s="59">
        <f>'1040 W4 PLANNER 2026'!C18</f>
        <v>0</v>
      </c>
      <c r="C9" s="60">
        <f>'1040 W4 PLANNER 2026'!H136</f>
        <v>0</v>
      </c>
      <c r="D9" s="60">
        <f>'1040 W4 PLANNER 2026'!I136</f>
        <v>0</v>
      </c>
      <c r="E9" s="60">
        <f>'1040 W4 PLANNER 2026'!J136</f>
        <v>0</v>
      </c>
      <c r="F9" s="60">
        <f>'1040 W4 PLANNER 2026'!K136</f>
        <v>0</v>
      </c>
      <c r="G9" s="60">
        <f>'1040 W4 PLANNER 2026'!N136</f>
        <v>0</v>
      </c>
      <c r="H9" s="59">
        <f>'1040 W4 PLANNER 2026'!O136</f>
        <v>0</v>
      </c>
      <c r="I9" s="56">
        <f t="shared" si="0"/>
        <v>0</v>
      </c>
      <c r="J9" s="62">
        <f t="shared" si="1"/>
        <v>0</v>
      </c>
      <c r="K9" s="62">
        <f t="shared" si="2"/>
        <v>0</v>
      </c>
      <c r="M9" s="61">
        <f t="shared" si="3"/>
        <v>0</v>
      </c>
      <c r="N9" s="61">
        <f t="shared" si="4"/>
        <v>0</v>
      </c>
      <c r="O9" s="61">
        <f t="shared" si="5"/>
        <v>450</v>
      </c>
      <c r="P9" s="61">
        <f t="shared" si="6"/>
        <v>9107</v>
      </c>
      <c r="Q9" s="61">
        <f t="shared" si="7"/>
        <v>0</v>
      </c>
      <c r="R9" s="61">
        <f t="shared" si="8"/>
        <v>0</v>
      </c>
      <c r="S9" s="61">
        <f t="shared" si="9"/>
        <v>450</v>
      </c>
      <c r="T9" s="61">
        <f t="shared" si="10"/>
        <v>0</v>
      </c>
      <c r="U9" s="20">
        <f t="shared" si="11"/>
        <v>0</v>
      </c>
      <c r="V9" s="19">
        <f t="shared" si="12"/>
        <v>0</v>
      </c>
      <c r="W9" s="20">
        <f t="shared" si="13"/>
        <v>0</v>
      </c>
      <c r="X9" s="20">
        <f t="shared" si="14"/>
        <v>0</v>
      </c>
    </row>
    <row r="10" spans="1:24">
      <c r="A10" s="60">
        <f>'1040 W4 PLANNER 2026'!A137</f>
        <v>0</v>
      </c>
      <c r="B10" s="59">
        <f>'1040 W4 PLANNER 2026'!C19</f>
        <v>0</v>
      </c>
      <c r="C10" s="60">
        <f>'1040 W4 PLANNER 2026'!H137</f>
        <v>0</v>
      </c>
      <c r="D10" s="60">
        <f>'1040 W4 PLANNER 2026'!I137</f>
        <v>0</v>
      </c>
      <c r="E10" s="60">
        <f>'1040 W4 PLANNER 2026'!J137</f>
        <v>0</v>
      </c>
      <c r="F10" s="60">
        <f>'1040 W4 PLANNER 2026'!K137</f>
        <v>0</v>
      </c>
      <c r="G10" s="60">
        <f>'1040 W4 PLANNER 2026'!N137</f>
        <v>0</v>
      </c>
      <c r="H10" s="59">
        <f>'1040 W4 PLANNER 2026'!O137</f>
        <v>0</v>
      </c>
      <c r="I10" s="56">
        <f t="shared" si="0"/>
        <v>0</v>
      </c>
      <c r="J10" s="62">
        <f t="shared" si="1"/>
        <v>0</v>
      </c>
      <c r="K10" s="62">
        <f t="shared" si="2"/>
        <v>0</v>
      </c>
      <c r="M10" s="61">
        <f t="shared" si="3"/>
        <v>0</v>
      </c>
      <c r="N10" s="61">
        <f t="shared" si="4"/>
        <v>0</v>
      </c>
      <c r="O10" s="61">
        <f t="shared" si="5"/>
        <v>450</v>
      </c>
      <c r="P10" s="61">
        <f t="shared" si="6"/>
        <v>9107</v>
      </c>
      <c r="Q10" s="61">
        <f t="shared" si="7"/>
        <v>0</v>
      </c>
      <c r="R10" s="61">
        <f t="shared" si="8"/>
        <v>0</v>
      </c>
      <c r="S10" s="61">
        <f t="shared" si="9"/>
        <v>450</v>
      </c>
      <c r="T10" s="61">
        <f t="shared" si="10"/>
        <v>0</v>
      </c>
      <c r="U10" s="20">
        <f t="shared" si="11"/>
        <v>0</v>
      </c>
      <c r="V10" s="19">
        <f t="shared" si="12"/>
        <v>0</v>
      </c>
      <c r="W10" s="20">
        <f t="shared" si="13"/>
        <v>0</v>
      </c>
      <c r="X10" s="20">
        <f t="shared" si="14"/>
        <v>0</v>
      </c>
    </row>
    <row r="17" spans="1:24" ht="78.75" customHeight="1">
      <c r="A17" s="9" t="s">
        <v>7</v>
      </c>
      <c r="B17" s="9" t="s">
        <v>16</v>
      </c>
      <c r="C17" s="40" t="s">
        <v>145</v>
      </c>
      <c r="D17" s="40" t="s">
        <v>146</v>
      </c>
      <c r="E17" s="41" t="s">
        <v>147</v>
      </c>
      <c r="F17" s="41" t="s">
        <v>38</v>
      </c>
      <c r="G17" s="42" t="s">
        <v>148</v>
      </c>
      <c r="H17" s="10" t="s">
        <v>11</v>
      </c>
      <c r="I17" s="10" t="s">
        <v>209</v>
      </c>
      <c r="J17" s="10" t="s">
        <v>207</v>
      </c>
      <c r="K17" s="10" t="s">
        <v>208</v>
      </c>
      <c r="M17">
        <v>1</v>
      </c>
      <c r="N17">
        <v>2</v>
      </c>
      <c r="O17">
        <v>3</v>
      </c>
      <c r="P17">
        <v>4</v>
      </c>
      <c r="Q17">
        <v>4</v>
      </c>
      <c r="R17">
        <v>5</v>
      </c>
      <c r="S17">
        <v>6</v>
      </c>
      <c r="T17">
        <v>7</v>
      </c>
      <c r="U17" t="s">
        <v>273</v>
      </c>
      <c r="V17" t="s">
        <v>272</v>
      </c>
      <c r="W17" t="s">
        <v>274</v>
      </c>
      <c r="X17" t="s">
        <v>275</v>
      </c>
    </row>
    <row r="18" spans="1:24">
      <c r="A18" s="54">
        <f>'1040 W4 PLANNER 2026'!A140</f>
        <v>0</v>
      </c>
      <c r="B18" s="55">
        <f>'1040 W4 PLANNER 2026'!C33</f>
        <v>0</v>
      </c>
      <c r="C18" s="56">
        <f>'1040 W4 PLANNER 2026'!H140</f>
        <v>0</v>
      </c>
      <c r="D18" s="56">
        <f>'1040 W4 PLANNER 2026'!I140</f>
        <v>0</v>
      </c>
      <c r="E18" s="56">
        <f>'1040 W4 PLANNER 2026'!J140</f>
        <v>0</v>
      </c>
      <c r="F18" s="56">
        <f>'1040 W4 PLANNER 2026'!K140</f>
        <v>0</v>
      </c>
      <c r="G18" s="56">
        <f>'1040 W4 PLANNER 2026'!N140</f>
        <v>0</v>
      </c>
      <c r="H18" s="57">
        <f>'1040 W4 PLANNER 2026'!O140</f>
        <v>0</v>
      </c>
      <c r="I18" s="56">
        <f>H18*C18</f>
        <v>0</v>
      </c>
      <c r="J18" s="62">
        <f t="shared" ref="J18:K22" si="15">W18</f>
        <v>0</v>
      </c>
      <c r="K18" s="62">
        <f t="shared" si="15"/>
        <v>0</v>
      </c>
      <c r="M18" s="61">
        <f>I18</f>
        <v>0</v>
      </c>
      <c r="N18" s="61">
        <f>M18*0.045</f>
        <v>0</v>
      </c>
      <c r="O18" s="61">
        <f>IF(E18="m",900,450)</f>
        <v>450</v>
      </c>
      <c r="P18" s="61">
        <f>IF(E18="m",18213,9107)</f>
        <v>9107</v>
      </c>
      <c r="Q18" s="61">
        <f>IF(M18-P18&lt;0,0,M18-P18)</f>
        <v>0</v>
      </c>
      <c r="R18" s="61">
        <f>Q18*0.013</f>
        <v>0</v>
      </c>
      <c r="S18" s="61">
        <f>IF(O18-R18&lt;0,0,O18-R18)</f>
        <v>450</v>
      </c>
      <c r="T18" s="61">
        <f>IF(N18-S18&lt;0,0,N18-S18)</f>
        <v>0</v>
      </c>
      <c r="U18" s="20">
        <f>IF(C18&gt;0,T18/C18,0)</f>
        <v>0</v>
      </c>
      <c r="V18" s="19">
        <f>G18</f>
        <v>0</v>
      </c>
      <c r="W18" s="20">
        <f>V18+U18</f>
        <v>0</v>
      </c>
      <c r="X18" s="20">
        <f>W18*D18</f>
        <v>0</v>
      </c>
    </row>
    <row r="19" spans="1:24">
      <c r="A19" s="54">
        <f>'1040 W4 PLANNER 2026'!A141</f>
        <v>0</v>
      </c>
      <c r="B19" s="55">
        <f>'1040 W4 PLANNER 2026'!C34</f>
        <v>0</v>
      </c>
      <c r="C19" s="56">
        <f>'1040 W4 PLANNER 2026'!H141</f>
        <v>0</v>
      </c>
      <c r="D19" s="56">
        <f>'1040 W4 PLANNER 2026'!I141</f>
        <v>0</v>
      </c>
      <c r="E19" s="56">
        <f>'1040 W4 PLANNER 2026'!J141</f>
        <v>0</v>
      </c>
      <c r="F19" s="56">
        <f>'1040 W4 PLANNER 2026'!K141</f>
        <v>0</v>
      </c>
      <c r="G19" s="56">
        <f>'1040 W4 PLANNER 2026'!N141</f>
        <v>0</v>
      </c>
      <c r="H19" s="57">
        <f>'1040 W4 PLANNER 2026'!O141</f>
        <v>0</v>
      </c>
      <c r="I19" s="56">
        <f>H19*C19</f>
        <v>0</v>
      </c>
      <c r="J19" s="62">
        <f t="shared" si="15"/>
        <v>0</v>
      </c>
      <c r="K19" s="62">
        <f t="shared" si="15"/>
        <v>0</v>
      </c>
      <c r="M19" s="61">
        <f t="shared" ref="M19:M22" si="16">I19</f>
        <v>0</v>
      </c>
      <c r="N19" s="61">
        <f t="shared" ref="N19:N22" si="17">M19*0.045</f>
        <v>0</v>
      </c>
      <c r="O19" s="61">
        <f t="shared" ref="O19:O22" si="18">IF(E19="m",900,450)</f>
        <v>450</v>
      </c>
      <c r="P19" s="61">
        <f t="shared" ref="P19:P22" si="19">IF(E19="m",18213,9107)</f>
        <v>9107</v>
      </c>
      <c r="Q19" s="61">
        <f t="shared" ref="Q19:Q22" si="20">IF(M19-P19&lt;0,0,M19-P19)</f>
        <v>0</v>
      </c>
      <c r="R19" s="61">
        <f t="shared" ref="R19:R22" si="21">Q19*0.013</f>
        <v>0</v>
      </c>
      <c r="S19" s="61">
        <f t="shared" ref="S19:S22" si="22">IF(O19-R19&lt;0,0,O19-R19)</f>
        <v>450</v>
      </c>
      <c r="T19" s="61">
        <f t="shared" ref="T19:T22" si="23">IF(N19-S19&lt;0,0,N19-S19)</f>
        <v>0</v>
      </c>
      <c r="U19" s="20">
        <f t="shared" ref="U19:U22" si="24">IF(C19&gt;0,T19/C19,0)</f>
        <v>0</v>
      </c>
      <c r="V19" s="19">
        <f t="shared" ref="V19:V22" si="25">G19</f>
        <v>0</v>
      </c>
      <c r="W19" s="20">
        <f t="shared" ref="W19:W22" si="26">V19+U19</f>
        <v>0</v>
      </c>
      <c r="X19" s="20">
        <f t="shared" ref="X19:X22" si="27">W19*D19</f>
        <v>0</v>
      </c>
    </row>
    <row r="20" spans="1:24">
      <c r="A20" s="54">
        <f>'1040 W4 PLANNER 2026'!A142</f>
        <v>0</v>
      </c>
      <c r="B20" s="55">
        <f>'1040 W4 PLANNER 2026'!C35</f>
        <v>0</v>
      </c>
      <c r="C20" s="56">
        <f>'1040 W4 PLANNER 2026'!H142</f>
        <v>0</v>
      </c>
      <c r="D20" s="56">
        <f>'1040 W4 PLANNER 2026'!I142</f>
        <v>0</v>
      </c>
      <c r="E20" s="56">
        <f>'1040 W4 PLANNER 2026'!J142</f>
        <v>0</v>
      </c>
      <c r="F20" s="56">
        <f>'1040 W4 PLANNER 2026'!K142</f>
        <v>0</v>
      </c>
      <c r="G20" s="56">
        <f>'1040 W4 PLANNER 2026'!N142</f>
        <v>0</v>
      </c>
      <c r="H20" s="57">
        <f>'1040 W4 PLANNER 2026'!O142</f>
        <v>0</v>
      </c>
      <c r="I20" s="56">
        <f>H20*C20</f>
        <v>0</v>
      </c>
      <c r="J20" s="62">
        <f t="shared" si="15"/>
        <v>0</v>
      </c>
      <c r="K20" s="62">
        <f t="shared" si="15"/>
        <v>0</v>
      </c>
      <c r="M20" s="61">
        <f t="shared" si="16"/>
        <v>0</v>
      </c>
      <c r="N20" s="61">
        <f t="shared" si="17"/>
        <v>0</v>
      </c>
      <c r="O20" s="61">
        <f t="shared" si="18"/>
        <v>450</v>
      </c>
      <c r="P20" s="61">
        <f t="shared" si="19"/>
        <v>9107</v>
      </c>
      <c r="Q20" s="61">
        <f t="shared" si="20"/>
        <v>0</v>
      </c>
      <c r="R20" s="61">
        <f t="shared" si="21"/>
        <v>0</v>
      </c>
      <c r="S20" s="61">
        <f t="shared" si="22"/>
        <v>450</v>
      </c>
      <c r="T20" s="61">
        <f t="shared" si="23"/>
        <v>0</v>
      </c>
      <c r="U20" s="20">
        <f t="shared" si="24"/>
        <v>0</v>
      </c>
      <c r="V20" s="19">
        <f t="shared" si="25"/>
        <v>0</v>
      </c>
      <c r="W20" s="20">
        <f t="shared" si="26"/>
        <v>0</v>
      </c>
      <c r="X20" s="20">
        <f t="shared" si="27"/>
        <v>0</v>
      </c>
    </row>
    <row r="21" spans="1:24">
      <c r="A21" s="54">
        <f>'1040 W4 PLANNER 2026'!A143</f>
        <v>0</v>
      </c>
      <c r="B21" s="55">
        <f>'1040 W4 PLANNER 2026'!C36</f>
        <v>0</v>
      </c>
      <c r="C21" s="56">
        <f>'1040 W4 PLANNER 2026'!H143</f>
        <v>0</v>
      </c>
      <c r="D21" s="56">
        <f>'1040 W4 PLANNER 2026'!I143</f>
        <v>0</v>
      </c>
      <c r="E21" s="56">
        <f>'1040 W4 PLANNER 2026'!J143</f>
        <v>0</v>
      </c>
      <c r="F21" s="56">
        <f>'1040 W4 PLANNER 2026'!K143</f>
        <v>0</v>
      </c>
      <c r="G21" s="56">
        <f>'1040 W4 PLANNER 2026'!N143</f>
        <v>0</v>
      </c>
      <c r="H21" s="57">
        <f>'1040 W4 PLANNER 2026'!O143</f>
        <v>0</v>
      </c>
      <c r="I21" s="56">
        <f>H21*C21</f>
        <v>0</v>
      </c>
      <c r="J21" s="62">
        <f t="shared" si="15"/>
        <v>0</v>
      </c>
      <c r="K21" s="62">
        <f t="shared" si="15"/>
        <v>0</v>
      </c>
      <c r="M21" s="61">
        <f t="shared" si="16"/>
        <v>0</v>
      </c>
      <c r="N21" s="61">
        <f t="shared" si="17"/>
        <v>0</v>
      </c>
      <c r="O21" s="61">
        <f t="shared" si="18"/>
        <v>450</v>
      </c>
      <c r="P21" s="61">
        <f t="shared" si="19"/>
        <v>9107</v>
      </c>
      <c r="Q21" s="61">
        <f t="shared" si="20"/>
        <v>0</v>
      </c>
      <c r="R21" s="61">
        <f t="shared" si="21"/>
        <v>0</v>
      </c>
      <c r="S21" s="61">
        <f t="shared" si="22"/>
        <v>450</v>
      </c>
      <c r="T21" s="61">
        <f t="shared" si="23"/>
        <v>0</v>
      </c>
      <c r="U21" s="20">
        <f t="shared" si="24"/>
        <v>0</v>
      </c>
      <c r="V21" s="19">
        <f t="shared" si="25"/>
        <v>0</v>
      </c>
      <c r="W21" s="20">
        <f t="shared" si="26"/>
        <v>0</v>
      </c>
      <c r="X21" s="20">
        <f t="shared" si="27"/>
        <v>0</v>
      </c>
    </row>
    <row r="22" spans="1:24">
      <c r="A22" s="54">
        <f>'1040 W4 PLANNER 2026'!A144</f>
        <v>0</v>
      </c>
      <c r="B22" s="55">
        <f>'1040 W4 PLANNER 2026'!C37</f>
        <v>0</v>
      </c>
      <c r="C22" s="56">
        <f>'1040 W4 PLANNER 2026'!H144</f>
        <v>0</v>
      </c>
      <c r="D22" s="56">
        <f>'1040 W4 PLANNER 2026'!I144</f>
        <v>0</v>
      </c>
      <c r="E22" s="56">
        <f>'1040 W4 PLANNER 2026'!J144</f>
        <v>0</v>
      </c>
      <c r="F22" s="56">
        <f>'1040 W4 PLANNER 2026'!K144</f>
        <v>0</v>
      </c>
      <c r="G22" s="56">
        <f>'1040 W4 PLANNER 2026'!N144</f>
        <v>0</v>
      </c>
      <c r="H22" s="57">
        <f>'1040 W4 PLANNER 2026'!O144</f>
        <v>0</v>
      </c>
      <c r="I22" s="56">
        <f>H22*C22</f>
        <v>0</v>
      </c>
      <c r="J22" s="62">
        <f t="shared" si="15"/>
        <v>0</v>
      </c>
      <c r="K22" s="62">
        <f t="shared" si="15"/>
        <v>0</v>
      </c>
      <c r="M22" s="61">
        <f t="shared" si="16"/>
        <v>0</v>
      </c>
      <c r="N22" s="61">
        <f t="shared" si="17"/>
        <v>0</v>
      </c>
      <c r="O22" s="61">
        <f t="shared" si="18"/>
        <v>450</v>
      </c>
      <c r="P22" s="61">
        <f t="shared" si="19"/>
        <v>9107</v>
      </c>
      <c r="Q22" s="61">
        <f t="shared" si="20"/>
        <v>0</v>
      </c>
      <c r="R22" s="61">
        <f t="shared" si="21"/>
        <v>0</v>
      </c>
      <c r="S22" s="61">
        <f t="shared" si="22"/>
        <v>450</v>
      </c>
      <c r="T22" s="61">
        <f t="shared" si="23"/>
        <v>0</v>
      </c>
      <c r="U22" s="20">
        <f t="shared" si="24"/>
        <v>0</v>
      </c>
      <c r="V22" s="19">
        <f t="shared" si="25"/>
        <v>0</v>
      </c>
      <c r="W22" s="20">
        <f t="shared" si="26"/>
        <v>0</v>
      </c>
      <c r="X22" s="20">
        <f t="shared" si="27"/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theme="1" tint="0.14999847407452621"/>
  </sheetPr>
  <dimension ref="A1:I7"/>
  <sheetViews>
    <sheetView workbookViewId="0">
      <selection activeCell="S33" sqref="S33:U33"/>
    </sheetView>
  </sheetViews>
  <sheetFormatPr defaultRowHeight="15"/>
  <cols>
    <col min="1" max="1" width="13.28515625" customWidth="1"/>
    <col min="3" max="3" width="10.42578125" bestFit="1" customWidth="1"/>
  </cols>
  <sheetData>
    <row r="1" spans="1:9">
      <c r="A1" t="s">
        <v>95</v>
      </c>
      <c r="B1" t="s">
        <v>233</v>
      </c>
      <c r="C1" t="s">
        <v>234</v>
      </c>
      <c r="D1" t="s">
        <v>96</v>
      </c>
      <c r="E1" t="s">
        <v>236</v>
      </c>
      <c r="F1" t="s">
        <v>240</v>
      </c>
      <c r="G1" t="s">
        <v>241</v>
      </c>
      <c r="I1" t="s">
        <v>285</v>
      </c>
    </row>
    <row r="2" spans="1:9">
      <c r="A2">
        <v>1</v>
      </c>
      <c r="B2">
        <v>0</v>
      </c>
      <c r="C2">
        <v>12</v>
      </c>
      <c r="D2" t="s">
        <v>41</v>
      </c>
      <c r="E2" t="s">
        <v>36</v>
      </c>
      <c r="F2">
        <v>1</v>
      </c>
      <c r="G2" s="30">
        <v>0</v>
      </c>
      <c r="I2" t="s">
        <v>286</v>
      </c>
    </row>
    <row r="3" spans="1:9">
      <c r="A3">
        <v>2</v>
      </c>
      <c r="B3">
        <v>1</v>
      </c>
      <c r="C3">
        <v>24</v>
      </c>
      <c r="D3" t="s">
        <v>40</v>
      </c>
      <c r="E3" t="s">
        <v>40</v>
      </c>
      <c r="F3">
        <v>0</v>
      </c>
      <c r="G3" s="30">
        <v>0.15</v>
      </c>
      <c r="I3" t="s">
        <v>287</v>
      </c>
    </row>
    <row r="4" spans="1:9">
      <c r="A4">
        <v>3</v>
      </c>
      <c r="B4">
        <v>2</v>
      </c>
      <c r="C4">
        <v>26</v>
      </c>
      <c r="D4" t="s">
        <v>279</v>
      </c>
      <c r="G4" s="30">
        <v>0.2</v>
      </c>
    </row>
    <row r="5" spans="1:9">
      <c r="A5">
        <v>4</v>
      </c>
      <c r="B5">
        <v>3</v>
      </c>
      <c r="C5">
        <v>52</v>
      </c>
      <c r="G5" s="30"/>
    </row>
    <row r="6" spans="1:9">
      <c r="A6">
        <v>5</v>
      </c>
      <c r="B6">
        <v>4</v>
      </c>
      <c r="C6">
        <v>260</v>
      </c>
      <c r="G6" s="30"/>
    </row>
    <row r="7" spans="1:9">
      <c r="C7">
        <v>1</v>
      </c>
      <c r="G7" s="7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3"/>
  <sheetViews>
    <sheetView workbookViewId="0">
      <selection activeCell="B19" sqref="B19"/>
    </sheetView>
  </sheetViews>
  <sheetFormatPr defaultRowHeight="15"/>
  <sheetData>
    <row r="1" spans="1:2">
      <c r="A1" t="s">
        <v>236</v>
      </c>
    </row>
    <row r="2" spans="1:2">
      <c r="A2" t="s">
        <v>36</v>
      </c>
      <c r="B2" t="s">
        <v>36</v>
      </c>
    </row>
    <row r="3" spans="1:2">
      <c r="A3" t="s">
        <v>40</v>
      </c>
      <c r="B3" t="s">
        <v>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CF5FD-1BD5-43B7-BA58-5E9FE75DED77}">
  <dimension ref="A1:Z50"/>
  <sheetViews>
    <sheetView workbookViewId="0">
      <selection activeCell="M2" sqref="M2"/>
    </sheetView>
  </sheetViews>
  <sheetFormatPr defaultRowHeight="15"/>
  <cols>
    <col min="1" max="1" width="4.85546875" customWidth="1"/>
    <col min="2" max="2" width="4.28515625" customWidth="1"/>
    <col min="3" max="5" width="4.5703125" customWidth="1"/>
    <col min="6" max="6" width="4.85546875" customWidth="1"/>
    <col min="7" max="7" width="4.42578125" customWidth="1"/>
    <col min="8" max="8" width="6.140625" customWidth="1"/>
    <col min="9" max="9" width="4" customWidth="1"/>
    <col min="10" max="10" width="4.28515625" customWidth="1"/>
    <col min="11" max="11" width="6.28515625" customWidth="1"/>
    <col min="12" max="12" width="7.42578125" customWidth="1"/>
    <col min="13" max="13" width="5.85546875" customWidth="1"/>
    <col min="14" max="14" width="5.28515625" customWidth="1"/>
    <col min="15" max="15" width="4.85546875" customWidth="1"/>
    <col min="16" max="16" width="4.42578125" customWidth="1"/>
    <col min="17" max="17" width="5" customWidth="1"/>
    <col min="18" max="18" width="4.5703125" customWidth="1"/>
    <col min="19" max="19" width="4" customWidth="1"/>
    <col min="20" max="20" width="3.140625" customWidth="1"/>
    <col min="21" max="21" width="4" customWidth="1"/>
    <col min="22" max="22" width="1.28515625" customWidth="1"/>
  </cols>
  <sheetData>
    <row r="1" spans="1:26" ht="27.75" customHeight="1" thickBot="1">
      <c r="A1" s="196" t="s">
        <v>460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</row>
    <row r="2" spans="1:26" ht="18.75" customHeight="1" thickBot="1">
      <c r="A2" s="205">
        <f ca="1">TODAY()</f>
        <v>46028</v>
      </c>
      <c r="B2" s="271"/>
      <c r="C2" s="211" t="s">
        <v>231</v>
      </c>
      <c r="D2" s="212"/>
      <c r="E2" s="212"/>
      <c r="F2" s="212"/>
      <c r="G2" s="212"/>
      <c r="H2" s="213"/>
      <c r="I2" s="265">
        <f>IF(S44&gt;0,S44,-S45)</f>
        <v>0</v>
      </c>
      <c r="J2" s="266"/>
      <c r="K2" s="267"/>
      <c r="L2" s="87"/>
      <c r="M2" s="92" t="s">
        <v>232</v>
      </c>
      <c r="N2" s="95"/>
      <c r="O2" s="93"/>
      <c r="P2" s="93"/>
      <c r="Q2" s="93"/>
      <c r="R2" s="94"/>
      <c r="S2" s="268">
        <f>IF(S48&gt;0,-S48,S49)</f>
        <v>0</v>
      </c>
      <c r="T2" s="269"/>
      <c r="U2" s="270"/>
    </row>
    <row r="3" spans="1:26">
      <c r="A3" s="202" t="s">
        <v>3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96" t="s">
        <v>206</v>
      </c>
      <c r="S3" s="210"/>
      <c r="T3" s="210"/>
      <c r="U3" s="210"/>
    </row>
    <row r="4" spans="1:26">
      <c r="A4" s="1" t="s">
        <v>0</v>
      </c>
      <c r="B4" s="3"/>
      <c r="C4" s="3"/>
      <c r="D4" s="250">
        <f>+'1040 W4 PLANNER 2026'!E4</f>
        <v>0</v>
      </c>
      <c r="E4" s="251"/>
      <c r="F4" s="251"/>
      <c r="G4" s="251"/>
      <c r="H4" s="251"/>
      <c r="I4" s="174" t="s">
        <v>2</v>
      </c>
      <c r="J4" s="174"/>
      <c r="K4" s="174"/>
      <c r="L4" s="264">
        <f>'1040 W4 PLANNER 2026'!L4:O4</f>
        <v>0</v>
      </c>
      <c r="M4" s="264"/>
      <c r="N4" s="264"/>
      <c r="O4" s="264"/>
      <c r="P4" s="2">
        <f>'1040 W4 PLANNER 2026'!P4</f>
        <v>0</v>
      </c>
      <c r="Q4" s="204" t="s">
        <v>259</v>
      </c>
      <c r="R4" s="204"/>
      <c r="S4" s="204"/>
      <c r="T4" s="204"/>
      <c r="U4" s="99">
        <f>'1040 W4 PLANNER 2026'!U4</f>
        <v>0</v>
      </c>
    </row>
    <row r="5" spans="1:26">
      <c r="A5" s="1" t="s">
        <v>1</v>
      </c>
      <c r="B5" s="3"/>
      <c r="C5" s="3"/>
      <c r="D5" s="251">
        <f>'1040 W4 PLANNER 2026'!E5</f>
        <v>0</v>
      </c>
      <c r="E5" s="251"/>
      <c r="F5" s="251"/>
      <c r="G5" s="251"/>
      <c r="H5" s="251"/>
      <c r="I5" s="174" t="s">
        <v>2</v>
      </c>
      <c r="J5" s="174"/>
      <c r="K5" s="174"/>
      <c r="L5" s="251">
        <f>'1040 W4 PLANNER 2026'!L5</f>
        <v>0</v>
      </c>
      <c r="M5" s="251"/>
      <c r="N5" s="251"/>
      <c r="O5" s="251"/>
      <c r="P5" s="2">
        <f>'1040 W4 PLANNER 2026'!P5</f>
        <v>0</v>
      </c>
      <c r="Q5" s="204" t="s">
        <v>260</v>
      </c>
      <c r="R5" s="204"/>
      <c r="S5" s="204"/>
      <c r="T5" s="204"/>
      <c r="U5" s="99">
        <f>'1040 W4 PLANNER 2026'!U5</f>
        <v>0</v>
      </c>
      <c r="Z5" s="5"/>
    </row>
    <row r="6" spans="1:26">
      <c r="A6" s="1" t="s">
        <v>6</v>
      </c>
      <c r="B6" s="3"/>
      <c r="C6" s="3"/>
      <c r="D6" s="3"/>
      <c r="E6" s="3"/>
      <c r="F6" s="3"/>
      <c r="G6" s="3"/>
      <c r="H6" s="3"/>
      <c r="I6" s="3"/>
      <c r="J6" s="4"/>
      <c r="K6" s="4"/>
      <c r="L6" s="4"/>
      <c r="M6" s="4"/>
      <c r="N6" s="4"/>
      <c r="O6" s="4"/>
      <c r="P6" s="4"/>
      <c r="Q6" s="99">
        <f>'1040 W4 PLANNER 2026'!Q8</f>
        <v>1</v>
      </c>
      <c r="R6" s="185"/>
      <c r="S6" s="186"/>
      <c r="T6" s="186"/>
      <c r="U6" s="262"/>
    </row>
    <row r="7" spans="1:26">
      <c r="A7" s="176" t="s">
        <v>21</v>
      </c>
      <c r="B7" s="177"/>
      <c r="C7" s="177"/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8"/>
      <c r="Q7" s="99">
        <f>'1040 W4 PLANNER 2026'!Q9</f>
        <v>0</v>
      </c>
      <c r="R7" s="187"/>
      <c r="S7" s="188"/>
      <c r="T7" s="188"/>
      <c r="U7" s="263"/>
    </row>
    <row r="8" spans="1:26" ht="5.25" customHeight="1"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</row>
    <row r="9" spans="1:26" ht="51" customHeight="1">
      <c r="A9" s="77" t="s">
        <v>243</v>
      </c>
      <c r="B9" s="77" t="s">
        <v>284</v>
      </c>
      <c r="C9" s="198" t="s">
        <v>8</v>
      </c>
      <c r="D9" s="198"/>
      <c r="E9" s="198"/>
      <c r="F9" s="198"/>
      <c r="G9" s="198"/>
      <c r="H9" s="40" t="s">
        <v>145</v>
      </c>
      <c r="I9" s="41" t="s">
        <v>146</v>
      </c>
      <c r="J9" s="41" t="s">
        <v>278</v>
      </c>
      <c r="K9" s="41" t="s">
        <v>281</v>
      </c>
      <c r="L9" s="41" t="s">
        <v>282</v>
      </c>
      <c r="M9" s="41" t="s">
        <v>283</v>
      </c>
      <c r="N9" s="42" t="s">
        <v>148</v>
      </c>
      <c r="O9" s="195" t="s">
        <v>11</v>
      </c>
      <c r="P9" s="195"/>
      <c r="Q9" s="197" t="s">
        <v>14</v>
      </c>
      <c r="R9" s="197"/>
      <c r="S9" s="169" t="s">
        <v>15</v>
      </c>
      <c r="T9" s="170"/>
      <c r="U9" s="171"/>
    </row>
    <row r="10" spans="1:26">
      <c r="A10" s="97" t="str">
        <f>'1040 W4 PLANNER 2026'!A12</f>
        <v>T</v>
      </c>
      <c r="B10" s="97">
        <f>'1040 W4 PLANNER 2026'!B12</f>
        <v>0</v>
      </c>
      <c r="C10" s="261">
        <f>'1040 W4 PLANNER 2026'!C12</f>
        <v>0</v>
      </c>
      <c r="D10" s="257"/>
      <c r="E10" s="257"/>
      <c r="F10" s="257"/>
      <c r="G10" s="258"/>
      <c r="H10" s="97">
        <f>'1040 W4 PLANNER 2026'!H12</f>
        <v>0</v>
      </c>
      <c r="I10" s="97">
        <f>'1040 W4 PLANNER 2026'!I12</f>
        <v>0</v>
      </c>
      <c r="J10" s="97">
        <f>'1040 W4 PLANNER 2026'!J12</f>
        <v>0</v>
      </c>
      <c r="K10" s="97">
        <f>'1040 W4 PLANNER 2026'!K12</f>
        <v>0</v>
      </c>
      <c r="L10" s="97">
        <f>'1040 W4 PLANNER 2026'!L12</f>
        <v>0</v>
      </c>
      <c r="M10" s="97">
        <f>'1040 W4 PLANNER 2026'!M12</f>
        <v>0</v>
      </c>
      <c r="N10" s="97">
        <f>'1040 W4 PLANNER 2026'!N12</f>
        <v>0</v>
      </c>
      <c r="O10" s="259">
        <f>'1040 W4 PLANNER 2026'!O12</f>
        <v>0</v>
      </c>
      <c r="P10" s="260"/>
      <c r="Q10" s="163">
        <f>'1040 W4 PLANNER 2026'!Q12</f>
        <v>0</v>
      </c>
      <c r="R10" s="165"/>
      <c r="S10" s="163">
        <f>'1040 W4 PLANNER 2026'!S12</f>
        <v>0</v>
      </c>
      <c r="T10" s="164"/>
      <c r="U10" s="165"/>
      <c r="X10" t="s">
        <v>24</v>
      </c>
    </row>
    <row r="11" spans="1:26">
      <c r="A11" s="97" t="str">
        <f>'1040 W4 PLANNER 2026'!A13</f>
        <v>T</v>
      </c>
      <c r="B11" s="97" t="str">
        <f>'1040 W4 PLANNER 2026'!B13</f>
        <v>Y</v>
      </c>
      <c r="C11" s="256">
        <f>'1040 W4 PLANNER 2026'!C13:G13</f>
        <v>0</v>
      </c>
      <c r="D11" s="257"/>
      <c r="E11" s="257"/>
      <c r="F11" s="257"/>
      <c r="G11" s="258"/>
      <c r="H11" s="97">
        <f>'1040 W4 PLANNER 2026'!H13</f>
        <v>0</v>
      </c>
      <c r="I11" s="97">
        <f>'1040 W4 PLANNER 2026'!I13</f>
        <v>0</v>
      </c>
      <c r="J11" s="97">
        <f>'1040 W4 PLANNER 2026'!J13</f>
        <v>0</v>
      </c>
      <c r="K11" s="97">
        <f>'1040 W4 PLANNER 2026'!K13</f>
        <v>0</v>
      </c>
      <c r="L11" s="97">
        <f>'1040 W4 PLANNER 2026'!L13</f>
        <v>0</v>
      </c>
      <c r="M11" s="97">
        <f>'1040 W4 PLANNER 2026'!M13</f>
        <v>0</v>
      </c>
      <c r="N11" s="97">
        <f>'1040 W4 PLANNER 2026'!N13</f>
        <v>0</v>
      </c>
      <c r="O11" s="259">
        <f>'1040 W4 PLANNER 2026'!O13</f>
        <v>0</v>
      </c>
      <c r="P11" s="260"/>
      <c r="Q11" s="163">
        <f>'1040 W4 PLANNER 2026'!Q13</f>
        <v>0</v>
      </c>
      <c r="R11" s="165"/>
      <c r="S11" s="163">
        <f>'1040 W4 PLANNER 2026'!S13</f>
        <v>0</v>
      </c>
      <c r="T11" s="164"/>
      <c r="U11" s="165"/>
    </row>
    <row r="12" spans="1:26">
      <c r="A12" s="97">
        <f>'1040 W4 PLANNER 2026'!A14</f>
        <v>0</v>
      </c>
      <c r="B12" s="97">
        <f>'1040 W4 PLANNER 2026'!B14</f>
        <v>0</v>
      </c>
      <c r="C12" s="256">
        <f>'1040 W4 PLANNER 2026'!C14:G14</f>
        <v>0</v>
      </c>
      <c r="D12" s="257"/>
      <c r="E12" s="257"/>
      <c r="F12" s="257"/>
      <c r="G12" s="258"/>
      <c r="H12" s="97">
        <f>'1040 W4 PLANNER 2026'!H14</f>
        <v>0</v>
      </c>
      <c r="I12" s="97">
        <f>'1040 W4 PLANNER 2026'!I14</f>
        <v>0</v>
      </c>
      <c r="J12" s="97">
        <f>'1040 W4 PLANNER 2026'!J14</f>
        <v>0</v>
      </c>
      <c r="K12" s="97">
        <f>'1040 W4 PLANNER 2026'!K14</f>
        <v>0</v>
      </c>
      <c r="L12" s="97">
        <f>'1040 W4 PLANNER 2026'!L14</f>
        <v>0</v>
      </c>
      <c r="M12" s="97">
        <f>'1040 W4 PLANNER 2026'!M14</f>
        <v>0</v>
      </c>
      <c r="N12" s="97">
        <f>'1040 W4 PLANNER 2026'!N14</f>
        <v>0</v>
      </c>
      <c r="O12" s="259">
        <f>'1040 W4 PLANNER 2026'!O14</f>
        <v>0</v>
      </c>
      <c r="P12" s="260"/>
      <c r="Q12" s="163">
        <f>'1040 W4 PLANNER 2026'!Q14</f>
        <v>0</v>
      </c>
      <c r="R12" s="165"/>
      <c r="S12" s="163">
        <f>'1040 W4 PLANNER 2026'!S14</f>
        <v>0</v>
      </c>
      <c r="T12" s="164"/>
      <c r="U12" s="165"/>
    </row>
    <row r="13" spans="1:26">
      <c r="A13" s="97">
        <f>'1040 W4 PLANNER 2026'!A15</f>
        <v>0</v>
      </c>
      <c r="B13" s="97">
        <f>'1040 W4 PLANNER 2026'!B15</f>
        <v>0</v>
      </c>
      <c r="C13" s="256">
        <f>'1040 W4 PLANNER 2026'!C15:G15</f>
        <v>0</v>
      </c>
      <c r="D13" s="257"/>
      <c r="E13" s="257"/>
      <c r="F13" s="257"/>
      <c r="G13" s="258"/>
      <c r="H13" s="97">
        <f>'1040 W4 PLANNER 2026'!H15</f>
        <v>0</v>
      </c>
      <c r="I13" s="97">
        <f>'1040 W4 PLANNER 2026'!I15</f>
        <v>0</v>
      </c>
      <c r="J13" s="97">
        <f>'1040 W4 PLANNER 2026'!J15</f>
        <v>0</v>
      </c>
      <c r="K13" s="97">
        <f>'1040 W4 PLANNER 2026'!K15</f>
        <v>0</v>
      </c>
      <c r="L13" s="97">
        <f>'1040 W4 PLANNER 2026'!L15</f>
        <v>0</v>
      </c>
      <c r="M13" s="97">
        <f>'1040 W4 PLANNER 2026'!M15</f>
        <v>0</v>
      </c>
      <c r="N13" s="97">
        <f>'1040 W4 PLANNER 2026'!N15</f>
        <v>0</v>
      </c>
      <c r="O13" s="259">
        <f>'1040 W4 PLANNER 2026'!O15</f>
        <v>0</v>
      </c>
      <c r="P13" s="260"/>
      <c r="Q13" s="163">
        <f>'1040 W4 PLANNER 2026'!Q15</f>
        <v>0</v>
      </c>
      <c r="R13" s="165"/>
      <c r="S13" s="163">
        <f>'1040 W4 PLANNER 2026'!S15</f>
        <v>0</v>
      </c>
      <c r="T13" s="164"/>
      <c r="U13" s="165"/>
    </row>
    <row r="14" spans="1:26">
      <c r="A14" s="8">
        <v>7</v>
      </c>
      <c r="B14" s="8"/>
      <c r="C14" t="s">
        <v>324</v>
      </c>
      <c r="R14" s="8">
        <v>7</v>
      </c>
      <c r="S14" s="155">
        <f>'1040 W4 PLANNER 2026'!S21:U21</f>
        <v>0</v>
      </c>
      <c r="T14" s="155"/>
      <c r="U14" s="155"/>
    </row>
    <row r="15" spans="1:26">
      <c r="A15" s="8">
        <v>7</v>
      </c>
      <c r="B15" s="8"/>
      <c r="C15" t="s">
        <v>325</v>
      </c>
      <c r="R15" s="8">
        <v>7</v>
      </c>
      <c r="S15" s="155">
        <f>'1040 W4 PLANNER 2026'!S22:U22</f>
        <v>0</v>
      </c>
      <c r="T15" s="155"/>
      <c r="U15" s="155"/>
    </row>
    <row r="16" spans="1:26">
      <c r="A16" s="8">
        <v>8</v>
      </c>
      <c r="B16" s="8"/>
      <c r="C16" t="s">
        <v>211</v>
      </c>
      <c r="H16" t="s">
        <v>51</v>
      </c>
      <c r="K16" s="252">
        <f>'1040 W4 PLANNER 2026'!K23:L23</f>
        <v>0</v>
      </c>
      <c r="L16" s="252"/>
      <c r="M16" s="8" t="s">
        <v>365</v>
      </c>
      <c r="R16" s="8">
        <v>8</v>
      </c>
      <c r="S16" s="252">
        <f>'1040 W4 PLANNER 2026'!S23:U23</f>
        <v>0</v>
      </c>
      <c r="T16" s="252"/>
      <c r="U16" s="252"/>
    </row>
    <row r="17" spans="1:21" ht="16.5" customHeight="1">
      <c r="A17" s="8">
        <v>9</v>
      </c>
      <c r="B17" s="8"/>
      <c r="C17" t="s">
        <v>18</v>
      </c>
      <c r="F17" s="252">
        <f>'1040 W4 PLANNER 2026'!F24:G24</f>
        <v>0</v>
      </c>
      <c r="G17" s="252"/>
      <c r="H17" t="s">
        <v>103</v>
      </c>
      <c r="K17" s="252">
        <f>'1040 W4 PLANNER 2026'!K24:L24</f>
        <v>0</v>
      </c>
      <c r="L17" s="252"/>
      <c r="M17" t="s">
        <v>364</v>
      </c>
      <c r="R17" s="8">
        <v>9</v>
      </c>
      <c r="S17" s="155">
        <f>'1040 W4 PLANNER 2026'!S24:U24</f>
        <v>0</v>
      </c>
      <c r="T17" s="155"/>
      <c r="U17" s="155"/>
    </row>
    <row r="18" spans="1:21">
      <c r="A18" s="8" t="s">
        <v>17</v>
      </c>
      <c r="B18" s="8"/>
      <c r="C18" t="s">
        <v>367</v>
      </c>
      <c r="R18" s="8"/>
      <c r="S18" s="155">
        <f>'1040 W4 PLANNER 2026'!S40:U40</f>
        <v>0</v>
      </c>
      <c r="T18" s="155"/>
      <c r="U18" s="155"/>
    </row>
    <row r="19" spans="1:21">
      <c r="A19" s="8" t="s">
        <v>17</v>
      </c>
      <c r="B19" s="8"/>
      <c r="C19" t="s">
        <v>366</v>
      </c>
      <c r="R19" s="8"/>
      <c r="S19" s="155">
        <f>'1040 W4 PLANNER 2026'!S41:U41</f>
        <v>0</v>
      </c>
      <c r="T19" s="155"/>
      <c r="U19" s="155"/>
    </row>
    <row r="20" spans="1:21">
      <c r="A20" s="8">
        <v>20</v>
      </c>
      <c r="B20" s="8"/>
      <c r="C20" t="s">
        <v>20</v>
      </c>
      <c r="J20" s="252">
        <f>'1040 W4 PLANNER 2026'!J48:K48</f>
        <v>0</v>
      </c>
      <c r="K20" s="252"/>
      <c r="M20" t="s">
        <v>320</v>
      </c>
      <c r="R20" s="8">
        <v>20</v>
      </c>
      <c r="S20" s="155">
        <f>'1040 W4 PLANNER 2026'!S48:U48</f>
        <v>0</v>
      </c>
      <c r="T20" s="155"/>
      <c r="U20" s="155"/>
    </row>
    <row r="21" spans="1:21">
      <c r="A21" s="8">
        <v>22</v>
      </c>
      <c r="B21" s="8"/>
      <c r="C21" t="s">
        <v>304</v>
      </c>
      <c r="R21" s="8">
        <v>22</v>
      </c>
      <c r="S21" s="155">
        <f>'1040 W4 PLANNER 2026'!S50:U50</f>
        <v>0</v>
      </c>
      <c r="T21" s="155"/>
      <c r="U21" s="155"/>
    </row>
    <row r="22" spans="1:21">
      <c r="A22" s="12" t="s">
        <v>28</v>
      </c>
      <c r="B22" s="12"/>
      <c r="R22" s="8"/>
      <c r="S22" s="8"/>
      <c r="T22" s="8"/>
      <c r="U22" s="8"/>
    </row>
    <row r="23" spans="1:21">
      <c r="A23" s="8">
        <v>36</v>
      </c>
      <c r="B23" s="8"/>
      <c r="C23" t="s">
        <v>375</v>
      </c>
      <c r="R23" s="8">
        <v>36</v>
      </c>
      <c r="S23" s="163">
        <f>'1040 W4 PLANNER 2026'!S64+'1040 W4 PLANNER 2026'!S68</f>
        <v>0</v>
      </c>
      <c r="T23" s="164"/>
      <c r="U23" s="165"/>
    </row>
    <row r="24" spans="1:21">
      <c r="A24" s="8" t="s">
        <v>22</v>
      </c>
      <c r="B24" s="8"/>
      <c r="C24" t="s">
        <v>318</v>
      </c>
      <c r="R24" s="8">
        <v>37</v>
      </c>
      <c r="S24" s="253">
        <f>S21-S23</f>
        <v>0</v>
      </c>
      <c r="T24" s="254"/>
      <c r="U24" s="255"/>
    </row>
    <row r="25" spans="1:21">
      <c r="A25" s="11" t="s">
        <v>26</v>
      </c>
      <c r="B25" s="11"/>
    </row>
    <row r="26" spans="1:21">
      <c r="A26" s="11" t="s">
        <v>29</v>
      </c>
      <c r="B26" s="11"/>
    </row>
    <row r="27" spans="1:21" ht="3" customHeight="1">
      <c r="A27" s="15"/>
      <c r="B27" s="15"/>
      <c r="C27" s="16"/>
      <c r="D27" s="16"/>
      <c r="E27" s="16"/>
      <c r="F27" s="16"/>
      <c r="G27" s="16"/>
      <c r="H27" s="16"/>
      <c r="I27" s="16"/>
      <c r="J27" s="17"/>
      <c r="K27" s="17"/>
      <c r="L27" s="17"/>
      <c r="M27" s="17"/>
      <c r="N27" s="17"/>
      <c r="O27" s="16"/>
      <c r="P27" s="16"/>
      <c r="Q27" s="16"/>
      <c r="R27" s="16"/>
      <c r="S27" s="18"/>
      <c r="T27" s="18"/>
      <c r="U27" s="18"/>
    </row>
    <row r="28" spans="1:21">
      <c r="A28" s="11" t="s">
        <v>35</v>
      </c>
      <c r="B28" s="11"/>
    </row>
    <row r="29" spans="1:21">
      <c r="A29" t="s">
        <v>224</v>
      </c>
      <c r="C29" t="s">
        <v>334</v>
      </c>
      <c r="J29" s="6"/>
      <c r="K29" s="6"/>
      <c r="L29" s="6"/>
      <c r="M29" s="6"/>
      <c r="N29" s="6"/>
      <c r="R29" t="s">
        <v>224</v>
      </c>
      <c r="S29" s="163">
        <f>'1040 W4 PLANNER 2026'!S81:U81</f>
        <v>0</v>
      </c>
      <c r="T29" s="164"/>
      <c r="U29" s="165"/>
    </row>
    <row r="30" spans="1:21" ht="3" customHeight="1">
      <c r="A30" s="15"/>
      <c r="B30" s="15"/>
      <c r="C30" s="16"/>
      <c r="D30" s="16"/>
      <c r="E30" s="16"/>
      <c r="F30" s="16"/>
      <c r="G30" s="16"/>
      <c r="H30" s="16"/>
      <c r="I30" s="16"/>
      <c r="J30" s="17"/>
      <c r="K30" s="17"/>
      <c r="L30" s="17"/>
      <c r="M30" s="17"/>
      <c r="N30" s="17"/>
      <c r="O30" s="16"/>
      <c r="P30" s="16"/>
      <c r="Q30" s="16"/>
      <c r="R30" s="16"/>
      <c r="S30" s="18"/>
      <c r="T30" s="18"/>
      <c r="U30" s="18"/>
    </row>
    <row r="31" spans="1:21">
      <c r="A31" s="8">
        <v>40</v>
      </c>
      <c r="B31" s="8"/>
      <c r="C31" t="s">
        <v>335</v>
      </c>
      <c r="R31" s="8">
        <v>40</v>
      </c>
      <c r="S31" s="163">
        <f>'1040 W4 PLANNER 2026'!S83:U83</f>
        <v>16100</v>
      </c>
      <c r="T31" s="164"/>
      <c r="U31" s="165"/>
    </row>
    <row r="32" spans="1:21">
      <c r="A32" s="8">
        <v>40</v>
      </c>
      <c r="B32" s="8"/>
      <c r="C32" t="s">
        <v>336</v>
      </c>
      <c r="R32" s="8">
        <v>40</v>
      </c>
      <c r="S32" s="163">
        <f>'1040 W4 PLANNER 2026'!S84:U84</f>
        <v>16100</v>
      </c>
      <c r="T32" s="164"/>
      <c r="U32" s="165"/>
    </row>
    <row r="33" spans="1:21">
      <c r="A33" s="8">
        <v>43</v>
      </c>
      <c r="B33" s="8"/>
      <c r="C33" t="s">
        <v>338</v>
      </c>
      <c r="R33" s="8">
        <v>43</v>
      </c>
      <c r="S33" s="155">
        <f>S24-S32</f>
        <v>-16100</v>
      </c>
      <c r="T33" s="155"/>
      <c r="U33" s="155"/>
    </row>
    <row r="34" spans="1:21">
      <c r="A34" s="8">
        <v>47</v>
      </c>
      <c r="B34" s="8"/>
      <c r="C34" t="s">
        <v>339</v>
      </c>
      <c r="R34" s="8">
        <v>47</v>
      </c>
      <c r="S34" s="155">
        <f>'1040 W4 PLANNER 2026'!S94:U94</f>
        <v>0</v>
      </c>
      <c r="T34" s="155"/>
      <c r="U34" s="155"/>
    </row>
    <row r="35" spans="1:21">
      <c r="A35" s="12" t="s">
        <v>106</v>
      </c>
      <c r="B35" s="12"/>
      <c r="R35" s="8"/>
      <c r="S35" s="32"/>
      <c r="T35" s="32"/>
      <c r="U35" s="32"/>
    </row>
    <row r="36" spans="1:21">
      <c r="A36" s="8">
        <v>55</v>
      </c>
      <c r="B36" s="8"/>
      <c r="C36" t="s">
        <v>349</v>
      </c>
      <c r="R36" s="8">
        <v>55</v>
      </c>
      <c r="S36" s="155">
        <f>'1040 W4 PLANNER 2026'!S103:U103</f>
        <v>0</v>
      </c>
      <c r="T36" s="155"/>
      <c r="U36" s="155"/>
    </row>
    <row r="37" spans="1:21">
      <c r="A37" s="8">
        <v>56</v>
      </c>
      <c r="B37" s="8"/>
      <c r="C37" t="s">
        <v>350</v>
      </c>
      <c r="R37" s="8">
        <v>56</v>
      </c>
      <c r="S37" s="155">
        <f>'1040 W4 PLANNER 2026'!S104:U104</f>
        <v>0</v>
      </c>
      <c r="T37" s="155"/>
      <c r="U37" s="155"/>
    </row>
    <row r="38" spans="1:21">
      <c r="A38" s="8">
        <v>63</v>
      </c>
      <c r="B38" s="8"/>
      <c r="C38" t="s">
        <v>354</v>
      </c>
      <c r="R38" s="8">
        <v>63</v>
      </c>
      <c r="S38" s="155">
        <f>'1040 W4 PLANNER 2026'!S112:U112</f>
        <v>0</v>
      </c>
      <c r="T38" s="155"/>
      <c r="U38" s="155"/>
    </row>
    <row r="39" spans="1:21">
      <c r="A39" s="11" t="s">
        <v>31</v>
      </c>
      <c r="B39" s="11"/>
    </row>
    <row r="40" spans="1:21">
      <c r="A40" s="8">
        <v>64</v>
      </c>
      <c r="B40" s="8"/>
      <c r="C40" t="s">
        <v>355</v>
      </c>
      <c r="R40" s="8">
        <v>64</v>
      </c>
      <c r="S40" s="155">
        <f>'1040 W4 PLANNER 2026'!S114:U114</f>
        <v>0</v>
      </c>
      <c r="T40" s="155"/>
      <c r="U40" s="155"/>
    </row>
    <row r="41" spans="1:21">
      <c r="A41" s="8">
        <v>65</v>
      </c>
      <c r="B41" s="8"/>
      <c r="C41" t="s">
        <v>356</v>
      </c>
      <c r="R41" s="8">
        <v>65</v>
      </c>
      <c r="S41" s="252">
        <f>'1040 W4 PLANNER 2026'!S115:U115</f>
        <v>0</v>
      </c>
      <c r="T41" s="252"/>
      <c r="U41" s="252"/>
    </row>
    <row r="42" spans="1:21">
      <c r="A42" s="8" t="s">
        <v>242</v>
      </c>
      <c r="B42" s="8"/>
      <c r="C42" t="s">
        <v>32</v>
      </c>
      <c r="L42" s="97">
        <f>'1040 W4 PLANNER 2026'!L116</f>
        <v>0</v>
      </c>
      <c r="R42" s="8" t="s">
        <v>242</v>
      </c>
      <c r="S42" s="155">
        <f>'1040 W4 PLANNER 2026'!S116:U116</f>
        <v>0</v>
      </c>
      <c r="T42" s="155"/>
      <c r="U42" s="155"/>
    </row>
    <row r="43" spans="1:21">
      <c r="A43" s="8">
        <v>74</v>
      </c>
      <c r="B43" s="8"/>
      <c r="C43" t="s">
        <v>361</v>
      </c>
      <c r="R43" s="8">
        <v>74</v>
      </c>
      <c r="S43" s="155">
        <f>'1040 W4 PLANNER 2026'!S125:U125</f>
        <v>0</v>
      </c>
      <c r="T43" s="155"/>
      <c r="U43" s="155"/>
    </row>
    <row r="44" spans="1:21">
      <c r="A44" s="11" t="s">
        <v>362</v>
      </c>
      <c r="B44" s="11"/>
      <c r="R44" s="12">
        <v>75</v>
      </c>
      <c r="S44" s="221">
        <f>'1040 W4 PLANNER 2026'!S126:U126</f>
        <v>0</v>
      </c>
      <c r="T44" s="221"/>
      <c r="U44" s="221"/>
    </row>
    <row r="45" spans="1:21">
      <c r="A45" s="11" t="s">
        <v>363</v>
      </c>
      <c r="B45" s="11"/>
      <c r="R45" s="12">
        <v>78</v>
      </c>
      <c r="S45" s="220">
        <f>'1040 W4 PLANNER 2026'!S127:U127</f>
        <v>0</v>
      </c>
      <c r="T45" s="220"/>
      <c r="U45" s="220"/>
    </row>
    <row r="46" spans="1:21" ht="18.75" customHeight="1">
      <c r="A46" s="246" t="s">
        <v>175</v>
      </c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</row>
    <row r="47" spans="1:21">
      <c r="A47" s="6">
        <v>24</v>
      </c>
      <c r="B47" s="6"/>
      <c r="C47" s="8" t="s">
        <v>371</v>
      </c>
      <c r="R47" s="8">
        <v>24</v>
      </c>
      <c r="S47" s="238">
        <f>'1040 W4 PLANNER 2026'!S156:U156</f>
        <v>0</v>
      </c>
      <c r="T47" s="238"/>
      <c r="U47" s="238"/>
    </row>
    <row r="48" spans="1:21">
      <c r="A48" s="11" t="s">
        <v>372</v>
      </c>
      <c r="B48" s="11"/>
      <c r="C48" s="8"/>
      <c r="R48" s="8">
        <v>42</v>
      </c>
      <c r="S48" s="247">
        <f>'1040 W4 PLANNER 2026'!S157:U157</f>
        <v>0</v>
      </c>
      <c r="T48" s="247"/>
      <c r="U48" s="247"/>
    </row>
    <row r="49" spans="1:21">
      <c r="A49" s="11" t="s">
        <v>373</v>
      </c>
      <c r="B49" s="11"/>
      <c r="C49" s="8"/>
      <c r="R49" s="8">
        <v>43</v>
      </c>
      <c r="S49" s="248">
        <f>'1040 W4 PLANNER 2026'!S158:U158</f>
        <v>0</v>
      </c>
      <c r="T49" s="248"/>
      <c r="U49" s="248"/>
    </row>
    <row r="50" spans="1:21" ht="7.5" customHeight="1"/>
  </sheetData>
  <sheetProtection algorithmName="SHA-512" hashValue="sXBpUsXbbRFsEi8FTRnhqVDMMBmAgnzuCL5KvIru9kqroRpx4vOkej4z7bh8RnvCT5/UciAmZHYOPOD7ughT5g==" saltValue="AkRu/XJOnJFGtCrGelZ2SQ==" spinCount="100000" sheet="1" selectLockedCells="1"/>
  <mergeCells count="69">
    <mergeCell ref="A1:U1"/>
    <mergeCell ref="C2:H2"/>
    <mergeCell ref="I2:K2"/>
    <mergeCell ref="S2:U2"/>
    <mergeCell ref="A3:O3"/>
    <mergeCell ref="S3:U3"/>
    <mergeCell ref="A2:B2"/>
    <mergeCell ref="I4:K4"/>
    <mergeCell ref="L4:O4"/>
    <mergeCell ref="Q4:T4"/>
    <mergeCell ref="I5:K5"/>
    <mergeCell ref="Q5:T5"/>
    <mergeCell ref="R6:U7"/>
    <mergeCell ref="A7:P7"/>
    <mergeCell ref="C9:G9"/>
    <mergeCell ref="O9:P9"/>
    <mergeCell ref="Q9:R9"/>
    <mergeCell ref="S9:U9"/>
    <mergeCell ref="C10:G10"/>
    <mergeCell ref="O10:P10"/>
    <mergeCell ref="Q10:R10"/>
    <mergeCell ref="S10:U10"/>
    <mergeCell ref="C11:G11"/>
    <mergeCell ref="O11:P11"/>
    <mergeCell ref="Q11:R11"/>
    <mergeCell ref="S11:U11"/>
    <mergeCell ref="F17:G17"/>
    <mergeCell ref="K17:L17"/>
    <mergeCell ref="S17:U17"/>
    <mergeCell ref="C12:G12"/>
    <mergeCell ref="O12:P12"/>
    <mergeCell ref="Q12:R12"/>
    <mergeCell ref="S12:U12"/>
    <mergeCell ref="C13:G13"/>
    <mergeCell ref="O13:P13"/>
    <mergeCell ref="Q13:R13"/>
    <mergeCell ref="S13:U13"/>
    <mergeCell ref="S18:U18"/>
    <mergeCell ref="S19:U19"/>
    <mergeCell ref="S14:U14"/>
    <mergeCell ref="S15:U15"/>
    <mergeCell ref="K16:L16"/>
    <mergeCell ref="S16:U16"/>
    <mergeCell ref="S23:U23"/>
    <mergeCell ref="S24:U24"/>
    <mergeCell ref="S21:U21"/>
    <mergeCell ref="J20:K20"/>
    <mergeCell ref="S20:U20"/>
    <mergeCell ref="S33:U33"/>
    <mergeCell ref="S34:U34"/>
    <mergeCell ref="S29:U29"/>
    <mergeCell ref="S31:U31"/>
    <mergeCell ref="S32:U32"/>
    <mergeCell ref="S48:U48"/>
    <mergeCell ref="S49:U49"/>
    <mergeCell ref="D4:H4"/>
    <mergeCell ref="D5:H5"/>
    <mergeCell ref="L5:O5"/>
    <mergeCell ref="S47:U47"/>
    <mergeCell ref="S44:U44"/>
    <mergeCell ref="S45:U45"/>
    <mergeCell ref="A46:U46"/>
    <mergeCell ref="S43:U43"/>
    <mergeCell ref="S40:U40"/>
    <mergeCell ref="S41:U41"/>
    <mergeCell ref="S42:U42"/>
    <mergeCell ref="S38:U38"/>
    <mergeCell ref="S36:U36"/>
    <mergeCell ref="S37:U37"/>
  </mergeCells>
  <dataValidations disablePrompts="1" count="4">
    <dataValidation type="whole" allowBlank="1" showInputMessage="1" showErrorMessage="1" sqref="L42" xr:uid="{F1B72798-A5D5-4423-BF77-B1EBA044CF7C}">
      <formula1>0</formula1>
      <formula2>3</formula2>
    </dataValidation>
    <dataValidation type="list" allowBlank="1" showInputMessage="1" showErrorMessage="1" sqref="H10:N13" xr:uid="{5711158E-3D95-4EF1-AF8E-F54DCA3F0023}">
      <formula1>payperiod</formula1>
    </dataValidation>
    <dataValidation type="list" allowBlank="1" showInputMessage="1" showErrorMessage="1" sqref="Q7" xr:uid="{5B63C7B3-5110-4370-8F7B-EE7BB841F4AF}">
      <formula1>Blind</formula1>
    </dataValidation>
    <dataValidation type="list" allowBlank="1" showInputMessage="1" showErrorMessage="1" sqref="Q6" xr:uid="{BAE205BD-8C61-4F35-BBCE-A5F4D1FBD450}">
      <formula1>status</formula1>
    </dataValidation>
  </dataValidations>
  <pageMargins left="0.25" right="0.25" top="0.25" bottom="0.25" header="0.3" footer="0.05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A4E332E4-469C-4BEF-BEA1-8A540C41F5CB}">
          <x14:formula1>
            <xm:f>lists!$I$2:$I$3</xm:f>
          </x14:formula1>
          <xm:sqref>B10:B13</xm:sqref>
        </x14:dataValidation>
        <x14:dataValidation type="list" allowBlank="1" showInputMessage="1" showErrorMessage="1" xr:uid="{550FF0FC-2872-4988-AAE7-1AB95D478463}">
          <x14:formula1>
            <xm:f>lists!$E$2:$E$3</xm:f>
          </x14:formula1>
          <xm:sqref>A10:A13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6B06A-F46E-414C-BC5A-0DEAE5A5701A}">
  <dimension ref="A1:AD39"/>
  <sheetViews>
    <sheetView topLeftCell="A7" workbookViewId="0">
      <selection activeCell="A19" sqref="A19"/>
    </sheetView>
  </sheetViews>
  <sheetFormatPr defaultRowHeight="15"/>
  <cols>
    <col min="1" max="1" width="22.140625" bestFit="1" customWidth="1"/>
    <col min="2" max="2" width="16.42578125" bestFit="1" customWidth="1"/>
    <col min="5" max="5" width="10.85546875" customWidth="1"/>
    <col min="6" max="6" width="11.5703125" bestFit="1" customWidth="1"/>
    <col min="11" max="26" width="5.7109375" customWidth="1"/>
    <col min="28" max="28" width="11.7109375" customWidth="1"/>
    <col min="29" max="29" width="7.140625" customWidth="1"/>
    <col min="30" max="30" width="1.7109375" customWidth="1"/>
  </cols>
  <sheetData>
    <row r="1" spans="1:30">
      <c r="A1" s="104" t="s">
        <v>249</v>
      </c>
      <c r="B1" s="105"/>
      <c r="C1" s="105"/>
      <c r="D1" s="105"/>
      <c r="E1" s="105"/>
      <c r="F1" s="105"/>
      <c r="G1" s="105"/>
      <c r="H1" s="106"/>
    </row>
    <row r="2" spans="1:30">
      <c r="A2" s="107" t="s">
        <v>95</v>
      </c>
      <c r="B2">
        <f>'1040 W4 PLANNER 2026'!Q8</f>
        <v>1</v>
      </c>
      <c r="H2" s="108"/>
    </row>
    <row r="3" spans="1:30">
      <c r="A3" s="109" t="s">
        <v>376</v>
      </c>
      <c r="H3" s="108"/>
      <c r="J3" s="8">
        <v>22</v>
      </c>
      <c r="K3" s="8"/>
      <c r="L3" t="s">
        <v>304</v>
      </c>
      <c r="AA3" s="8">
        <v>22</v>
      </c>
      <c r="AB3" s="123">
        <f>'1040 W4 PLANNER 2026'!S50</f>
        <v>0</v>
      </c>
      <c r="AC3" s="123"/>
      <c r="AD3" s="123"/>
    </row>
    <row r="4" spans="1:30">
      <c r="A4" s="107" t="s">
        <v>377</v>
      </c>
      <c r="B4" t="s">
        <v>263</v>
      </c>
      <c r="H4" s="108"/>
      <c r="J4" s="12" t="s">
        <v>28</v>
      </c>
      <c r="K4" s="12"/>
      <c r="AA4" s="8"/>
      <c r="AB4" s="8"/>
      <c r="AC4" s="8"/>
      <c r="AD4" s="8"/>
    </row>
    <row r="5" spans="1:30">
      <c r="A5" s="110">
        <f>IF(B2=2,403500,201750)</f>
        <v>201750</v>
      </c>
      <c r="B5" s="111">
        <f>IF(B2=2,340100,170050)</f>
        <v>170050</v>
      </c>
      <c r="C5" t="s">
        <v>250</v>
      </c>
      <c r="E5" t="s">
        <v>383</v>
      </c>
      <c r="H5" s="108"/>
      <c r="J5" s="8">
        <v>23</v>
      </c>
      <c r="K5" s="8"/>
      <c r="L5" t="s">
        <v>305</v>
      </c>
      <c r="AA5" s="8">
        <v>23</v>
      </c>
      <c r="AB5" s="100">
        <f>'1040 W4 PLANNER 2026'!S52</f>
        <v>0</v>
      </c>
      <c r="AC5" s="100"/>
      <c r="AD5" s="100"/>
    </row>
    <row r="6" spans="1:30">
      <c r="A6" s="110">
        <f>IF(A3=2,100000,50000)</f>
        <v>50000</v>
      </c>
      <c r="B6" s="111">
        <v>100000</v>
      </c>
      <c r="C6" t="s">
        <v>124</v>
      </c>
      <c r="E6" t="s">
        <v>114</v>
      </c>
      <c r="F6" s="110">
        <f>AB3</f>
        <v>0</v>
      </c>
      <c r="H6" s="108"/>
      <c r="J6" s="8">
        <v>24</v>
      </c>
      <c r="K6" s="8"/>
      <c r="L6" t="s">
        <v>306</v>
      </c>
      <c r="AA6" s="8">
        <v>24</v>
      </c>
      <c r="AB6" s="100">
        <f>'1040 W4 PLANNER 2026'!S53</f>
        <v>0</v>
      </c>
      <c r="AC6" s="100"/>
      <c r="AD6" s="100"/>
    </row>
    <row r="7" spans="1:30">
      <c r="A7" s="112">
        <f>F7</f>
        <v>0</v>
      </c>
      <c r="B7" s="113">
        <f>F7</f>
        <v>0</v>
      </c>
      <c r="E7" t="s">
        <v>384</v>
      </c>
      <c r="F7" s="19">
        <f>AB19</f>
        <v>0</v>
      </c>
      <c r="H7" s="108"/>
      <c r="J7" s="8">
        <v>25</v>
      </c>
      <c r="K7" s="8"/>
      <c r="L7" t="s">
        <v>307</v>
      </c>
      <c r="AA7" s="8">
        <v>25</v>
      </c>
      <c r="AB7" s="100">
        <f>'1040 W4 PLANNER 2026'!S54</f>
        <v>0</v>
      </c>
      <c r="AC7" s="100"/>
      <c r="AD7" s="100"/>
    </row>
    <row r="8" spans="1:30">
      <c r="A8" s="114">
        <f>A7-A5</f>
        <v>-201750</v>
      </c>
      <c r="B8" s="19">
        <f>A8</f>
        <v>-201750</v>
      </c>
      <c r="E8" t="s">
        <v>380</v>
      </c>
      <c r="F8" s="19">
        <f>AB20</f>
        <v>0</v>
      </c>
      <c r="H8" s="108"/>
      <c r="J8" s="8">
        <v>26</v>
      </c>
      <c r="K8" s="8"/>
      <c r="L8" t="s">
        <v>214</v>
      </c>
      <c r="AA8" s="8">
        <v>26</v>
      </c>
      <c r="AB8" s="100">
        <f>'1040 W4 PLANNER 2026'!S55</f>
        <v>0</v>
      </c>
      <c r="AC8" s="100"/>
      <c r="AD8" s="100"/>
    </row>
    <row r="9" spans="1:30">
      <c r="A9" s="115">
        <f>A8/A6</f>
        <v>-4.0350000000000001</v>
      </c>
      <c r="B9" s="116">
        <f>A9</f>
        <v>-4.0350000000000001</v>
      </c>
      <c r="E9" t="s">
        <v>381</v>
      </c>
      <c r="F9" s="19">
        <f>AB37</f>
        <v>16100</v>
      </c>
      <c r="H9" s="108"/>
      <c r="J9" s="8">
        <v>27</v>
      </c>
      <c r="K9" s="8"/>
      <c r="L9" t="s">
        <v>308</v>
      </c>
      <c r="AA9" s="8">
        <v>27</v>
      </c>
      <c r="AB9" s="100">
        <f>'1040 W4 PLANNER 2026'!S56</f>
        <v>0</v>
      </c>
      <c r="AC9" s="100"/>
      <c r="AD9" s="100"/>
    </row>
    <row r="10" spans="1:30">
      <c r="A10" s="115">
        <f>1-A9</f>
        <v>5.0350000000000001</v>
      </c>
      <c r="B10" s="116">
        <f>A10</f>
        <v>5.0350000000000001</v>
      </c>
      <c r="E10" t="s">
        <v>93</v>
      </c>
      <c r="F10" s="19">
        <f>AB39</f>
        <v>0</v>
      </c>
      <c r="H10" s="108"/>
      <c r="J10" s="8">
        <v>28</v>
      </c>
      <c r="K10" s="8"/>
      <c r="L10" t="s">
        <v>309</v>
      </c>
      <c r="AA10" s="8">
        <v>28</v>
      </c>
      <c r="AB10" s="100">
        <f>'1040 W4 PLANNER 2026'!S57</f>
        <v>0</v>
      </c>
      <c r="AC10" s="100"/>
      <c r="AD10" s="100"/>
    </row>
    <row r="11" spans="1:30">
      <c r="A11" s="112">
        <f>A24*A10</f>
        <v>0</v>
      </c>
      <c r="B11" s="113">
        <f>B24*B10</f>
        <v>0</v>
      </c>
      <c r="F11" s="148">
        <f>IF(F10&lt;B5,B31,0)</f>
        <v>0</v>
      </c>
      <c r="H11" s="108"/>
      <c r="J11" s="8">
        <v>29</v>
      </c>
      <c r="K11" s="8"/>
      <c r="L11" t="s">
        <v>310</v>
      </c>
      <c r="AA11" s="8">
        <v>29</v>
      </c>
      <c r="AB11" s="100">
        <f>'1040 W4 PLANNER 2026'!S58</f>
        <v>0</v>
      </c>
      <c r="AC11" s="100"/>
      <c r="AD11" s="100"/>
    </row>
    <row r="12" spans="1:30">
      <c r="A12" s="107"/>
      <c r="E12" t="s">
        <v>24</v>
      </c>
      <c r="F12" s="113" t="s">
        <v>24</v>
      </c>
      <c r="H12" s="108"/>
      <c r="J12" s="8">
        <v>30</v>
      </c>
      <c r="K12" s="8"/>
      <c r="L12" t="s">
        <v>311</v>
      </c>
      <c r="AA12" s="8">
        <v>30</v>
      </c>
      <c r="AB12" s="100">
        <f>'1040 W4 PLANNER 2026'!S59</f>
        <v>0</v>
      </c>
      <c r="AC12" s="100"/>
      <c r="AD12" s="100"/>
    </row>
    <row r="13" spans="1:30">
      <c r="A13" s="107"/>
      <c r="H13" s="108"/>
      <c r="J13" s="8">
        <v>31</v>
      </c>
      <c r="K13" s="8"/>
      <c r="L13" t="s">
        <v>312</v>
      </c>
      <c r="AA13" s="8">
        <v>31</v>
      </c>
      <c r="AB13" s="100">
        <f>'1040 W4 PLANNER 2026'!S60</f>
        <v>0</v>
      </c>
      <c r="AC13" s="100"/>
      <c r="AD13" s="100"/>
    </row>
    <row r="14" spans="1:30">
      <c r="A14" s="107"/>
      <c r="H14" s="108"/>
      <c r="J14" s="8">
        <v>32</v>
      </c>
      <c r="K14" s="8"/>
      <c r="L14" t="s">
        <v>313</v>
      </c>
      <c r="AA14" s="8">
        <v>32</v>
      </c>
      <c r="AB14" s="100">
        <f>'1040 W4 PLANNER 2026'!S61</f>
        <v>0</v>
      </c>
      <c r="AC14" s="100"/>
      <c r="AD14" s="100"/>
    </row>
    <row r="15" spans="1:30">
      <c r="A15" s="107"/>
      <c r="H15" s="108"/>
      <c r="J15" s="8">
        <v>33</v>
      </c>
      <c r="K15" s="8"/>
      <c r="L15" t="s">
        <v>314</v>
      </c>
      <c r="R15" s="162">
        <f>'1040 W4 PLANNER 2026'!I62</f>
        <v>0</v>
      </c>
      <c r="S15" s="162"/>
      <c r="T15" s="8" t="s">
        <v>315</v>
      </c>
      <c r="U15" s="8"/>
      <c r="V15" s="8"/>
      <c r="W15" s="8"/>
      <c r="X15" s="8"/>
      <c r="Y15" s="8"/>
      <c r="AA15" s="8">
        <v>33</v>
      </c>
      <c r="AB15" s="100">
        <f>'1040 W4 PLANNER 2026'!S62</f>
        <v>0</v>
      </c>
      <c r="AC15" s="100"/>
      <c r="AD15" s="100"/>
    </row>
    <row r="16" spans="1:30">
      <c r="A16" s="107"/>
      <c r="H16" s="108"/>
      <c r="J16" s="8">
        <v>34</v>
      </c>
      <c r="K16" s="8"/>
      <c r="L16" t="s">
        <v>316</v>
      </c>
      <c r="AA16" s="8">
        <v>34</v>
      </c>
      <c r="AB16" s="100">
        <f>'1040 W4 PLANNER 2026'!S63</f>
        <v>0</v>
      </c>
      <c r="AC16" s="100"/>
      <c r="AD16" s="100"/>
    </row>
    <row r="17" spans="1:30">
      <c r="A17" s="110">
        <f>IF('1040 W4 PLANNER 2026'!Q27="X",'1040 W4 PLANNER 2026'!S27,0)</f>
        <v>0</v>
      </c>
      <c r="B17" s="111">
        <f>IF('1040 W4 PLANNER 2026'!Q27&lt;&gt;"X",'1040 W4 PLANNER 2026'!S27,0)</f>
        <v>0</v>
      </c>
      <c r="C17" t="s">
        <v>252</v>
      </c>
      <c r="H17" s="108"/>
      <c r="J17" s="8">
        <v>35</v>
      </c>
      <c r="K17" s="8"/>
      <c r="L17" t="s">
        <v>379</v>
      </c>
      <c r="AA17" s="8">
        <v>35</v>
      </c>
      <c r="AB17" s="123">
        <v>0</v>
      </c>
      <c r="AC17" s="123"/>
      <c r="AD17" s="123"/>
    </row>
    <row r="18" spans="1:30">
      <c r="A18" s="110">
        <f>IF('1040 W4 PLANNER 2026'!Q28="X",'1040 W4 PLANNER 2026'!S28,0)</f>
        <v>0</v>
      </c>
      <c r="B18" s="111">
        <f>IF('1040 W4 PLANNER 2026'!Q28&lt;&gt;"X",'1040 W4 PLANNER 2026'!S28,0)</f>
        <v>0</v>
      </c>
      <c r="C18" t="s">
        <v>253</v>
      </c>
      <c r="D18" t="s">
        <v>251</v>
      </c>
      <c r="H18" s="108"/>
      <c r="J18" s="8">
        <v>35</v>
      </c>
      <c r="K18" s="8"/>
      <c r="L18" t="s">
        <v>378</v>
      </c>
      <c r="V18" s="210"/>
      <c r="W18" s="210"/>
      <c r="X18" s="210"/>
      <c r="Y18" s="210"/>
      <c r="Z18" s="210"/>
      <c r="AA18" s="8">
        <v>35</v>
      </c>
      <c r="AB18" s="127">
        <v>0</v>
      </c>
      <c r="AC18" s="127"/>
      <c r="AD18" s="127"/>
    </row>
    <row r="19" spans="1:30">
      <c r="A19" s="110">
        <f>IF('1040 W4 PLANNER 2026'!Q41="X",'1040 W4 PLANNER 2026'!S41,0)</f>
        <v>0</v>
      </c>
      <c r="B19" s="111"/>
      <c r="H19" s="108"/>
      <c r="J19" s="8">
        <v>36</v>
      </c>
      <c r="K19" s="8"/>
      <c r="L19" t="s">
        <v>317</v>
      </c>
      <c r="AA19" s="8">
        <v>36</v>
      </c>
      <c r="AB19" s="123">
        <f>SUM(AB5:AB18)</f>
        <v>0</v>
      </c>
      <c r="AC19" s="123"/>
      <c r="AD19" s="123"/>
    </row>
    <row r="20" spans="1:30">
      <c r="A20" s="110">
        <f>IF('1040 W4 PLANNER 2026'!Q42="X",'1040 W4 PLANNER 2026'!S42,0)</f>
        <v>0</v>
      </c>
      <c r="B20" s="111">
        <f>IF('1040 W4 PLANNER 2026'!Q42&lt;&gt;"X",'1040 W4 PLANNER 2026'!S42,0)</f>
        <v>0</v>
      </c>
      <c r="C20" t="s">
        <v>254</v>
      </c>
      <c r="H20" s="108"/>
      <c r="J20" s="8" t="s">
        <v>22</v>
      </c>
      <c r="K20" s="8"/>
      <c r="L20" t="s">
        <v>318</v>
      </c>
      <c r="AA20" s="8">
        <v>37</v>
      </c>
      <c r="AB20" s="124">
        <f>AB3-AB19</f>
        <v>0</v>
      </c>
      <c r="AC20" s="125"/>
      <c r="AD20" s="126"/>
    </row>
    <row r="21" spans="1:30">
      <c r="A21" s="110">
        <f>IF('1040 W4 PLANNER 2026'!Q43="X",'1040 W4 PLANNER 2026'!S43,0)</f>
        <v>0</v>
      </c>
      <c r="B21" s="111">
        <f>IF('1040 W4 PLANNER 2026'!Q43&lt;&gt;"X",'1040 W4 PLANNER 2026'!S43,0)</f>
        <v>0</v>
      </c>
      <c r="C21" t="s">
        <v>255</v>
      </c>
      <c r="H21" s="108"/>
      <c r="J21" s="11" t="s">
        <v>26</v>
      </c>
      <c r="K21" s="11"/>
    </row>
    <row r="22" spans="1:30">
      <c r="A22" s="107"/>
      <c r="B22" s="111">
        <f>'1040 W4 PLANNER 2026'!S44</f>
        <v>0</v>
      </c>
      <c r="C22" t="s">
        <v>264</v>
      </c>
      <c r="H22" s="108"/>
      <c r="J22" s="11" t="s">
        <v>29</v>
      </c>
      <c r="K22" s="11"/>
    </row>
    <row r="23" spans="1:30">
      <c r="A23" s="107"/>
      <c r="B23" s="111">
        <f>'1040 W4 PLANNER 2026'!S45</f>
        <v>0</v>
      </c>
      <c r="C23" t="s">
        <v>265</v>
      </c>
      <c r="H23" s="108"/>
      <c r="J23" s="15"/>
      <c r="K23" s="15"/>
      <c r="L23" s="16"/>
      <c r="M23" s="16"/>
      <c r="N23" s="16"/>
      <c r="O23" s="16"/>
      <c r="P23" s="16"/>
      <c r="Q23" s="16"/>
      <c r="R23" s="16"/>
      <c r="S23" s="17"/>
      <c r="T23" s="17"/>
      <c r="U23" s="17"/>
      <c r="V23" s="17"/>
      <c r="W23" s="17"/>
      <c r="X23" s="16"/>
      <c r="Y23" s="16"/>
      <c r="Z23" s="16"/>
      <c r="AA23" s="16"/>
      <c r="AB23" s="18"/>
      <c r="AC23" s="18"/>
      <c r="AD23" s="18"/>
    </row>
    <row r="24" spans="1:30">
      <c r="A24" s="110">
        <f>SUM(A17:A21)</f>
        <v>0</v>
      </c>
      <c r="B24" s="111">
        <f>SUM(B17:B23)</f>
        <v>0</v>
      </c>
      <c r="C24" t="s">
        <v>256</v>
      </c>
      <c r="H24" s="108"/>
      <c r="J24" s="11" t="s">
        <v>35</v>
      </c>
      <c r="K24" s="11"/>
    </row>
    <row r="25" spans="1:30">
      <c r="A25" s="110">
        <f>IF(A24&gt;0,A24*0.2,0)</f>
        <v>0</v>
      </c>
      <c r="B25" s="111">
        <f>IF(B24&gt;0,B24*0.2,0)</f>
        <v>0</v>
      </c>
      <c r="C25" t="s">
        <v>257</v>
      </c>
      <c r="H25" s="108"/>
      <c r="J25" t="s">
        <v>216</v>
      </c>
      <c r="L25" t="s">
        <v>83</v>
      </c>
      <c r="O25" s="159">
        <f>'1040 W4 PLANNER 2026'!F72</f>
        <v>0</v>
      </c>
      <c r="P25" s="161"/>
      <c r="Q25" s="75" t="s">
        <v>303</v>
      </c>
      <c r="R25" s="244">
        <f>AB20*0.075</f>
        <v>0</v>
      </c>
      <c r="S25" s="245"/>
      <c r="T25" t="s">
        <v>319</v>
      </c>
      <c r="AA25" t="s">
        <v>217</v>
      </c>
      <c r="AB25" s="163">
        <f>IF(O25&gt;R25,O25-R25,0)</f>
        <v>0</v>
      </c>
      <c r="AC25" s="164"/>
      <c r="AD25" s="165"/>
    </row>
    <row r="26" spans="1:30">
      <c r="B26" s="111"/>
      <c r="C26" t="s">
        <v>258</v>
      </c>
      <c r="H26" s="108"/>
      <c r="J26" t="s">
        <v>218</v>
      </c>
      <c r="L26" t="s">
        <v>74</v>
      </c>
      <c r="P26" t="s">
        <v>195</v>
      </c>
      <c r="S26" s="238">
        <f>'1040 W4 PLANNER 2026'!J73</f>
        <v>0</v>
      </c>
      <c r="T26" s="238"/>
      <c r="V26" t="s">
        <v>368</v>
      </c>
      <c r="Y26" s="156">
        <f>'1040 W4 PLANNER 2026'!P73</f>
        <v>0</v>
      </c>
      <c r="Z26" s="158"/>
      <c r="AA26" t="s">
        <v>218</v>
      </c>
      <c r="AB26" s="163">
        <f>Y26+S26</f>
        <v>0</v>
      </c>
      <c r="AC26" s="164"/>
      <c r="AD26" s="165"/>
    </row>
    <row r="27" spans="1:30">
      <c r="A27" s="110">
        <f>IF(F5&gt;A5,F5-A5,0)</f>
        <v>0</v>
      </c>
      <c r="C27" t="s">
        <v>266</v>
      </c>
      <c r="H27" s="108"/>
      <c r="J27" t="s">
        <v>219</v>
      </c>
      <c r="L27" t="s">
        <v>329</v>
      </c>
      <c r="AA27" t="s">
        <v>219</v>
      </c>
      <c r="AB27" s="159">
        <f>'1040 W4 PLANNER 2026'!S74</f>
        <v>0</v>
      </c>
      <c r="AC27" s="160"/>
      <c r="AD27" s="161"/>
    </row>
    <row r="28" spans="1:30">
      <c r="A28" s="110">
        <f>ROUND(A27/1000,0)*1000</f>
        <v>0</v>
      </c>
      <c r="C28" t="s">
        <v>125</v>
      </c>
      <c r="H28" s="108"/>
      <c r="J28" t="s">
        <v>220</v>
      </c>
      <c r="L28" t="s">
        <v>330</v>
      </c>
      <c r="AA28" t="s">
        <v>220</v>
      </c>
      <c r="AB28" s="159">
        <f>'1040 W4 PLANNER 2026'!S75</f>
        <v>0</v>
      </c>
      <c r="AC28" s="160"/>
      <c r="AD28" s="161"/>
    </row>
    <row r="29" spans="1:30">
      <c r="A29" s="117">
        <f>A28/A6</f>
        <v>0</v>
      </c>
      <c r="H29" s="108"/>
      <c r="L29" t="s">
        <v>331</v>
      </c>
      <c r="AB29" s="163">
        <f>'1040 W4 PLANNER 2026'!S76</f>
        <v>0</v>
      </c>
      <c r="AC29" s="164"/>
      <c r="AD29" s="165"/>
    </row>
    <row r="30" spans="1:30">
      <c r="A30" s="110">
        <f>A29*A25</f>
        <v>0</v>
      </c>
      <c r="H30" s="108"/>
      <c r="J30" t="s">
        <v>221</v>
      </c>
      <c r="L30" t="s">
        <v>107</v>
      </c>
      <c r="Q30" s="159">
        <f>'1040 W4 PLANNER 2026'!H77</f>
        <v>0</v>
      </c>
      <c r="R30" s="161"/>
      <c r="S30" s="68" t="s">
        <v>108</v>
      </c>
      <c r="U30" s="159">
        <f>'1040 W4 PLANNER 2026'!L77</f>
        <v>0</v>
      </c>
      <c r="V30" s="161"/>
      <c r="W30" s="8" t="s">
        <v>109</v>
      </c>
      <c r="X30" s="159">
        <f>'1040 W4 PLANNER 2026'!O77</f>
        <v>0</v>
      </c>
      <c r="Y30" s="161"/>
      <c r="Z30" t="s">
        <v>215</v>
      </c>
      <c r="AA30" t="s">
        <v>221</v>
      </c>
      <c r="AB30" s="163">
        <f>X30+U30+Q30</f>
        <v>0</v>
      </c>
      <c r="AC30" s="164"/>
      <c r="AD30" s="165"/>
    </row>
    <row r="31" spans="1:30">
      <c r="A31" s="110"/>
      <c r="B31" s="118">
        <f>B25+A25</f>
        <v>0</v>
      </c>
      <c r="C31" t="s">
        <v>267</v>
      </c>
      <c r="H31" s="108"/>
      <c r="J31" t="s">
        <v>222</v>
      </c>
      <c r="L31" t="s">
        <v>332</v>
      </c>
      <c r="AA31" t="s">
        <v>222</v>
      </c>
      <c r="AB31" s="101">
        <f>'1040 W4 PLANNER 2026'!S78</f>
        <v>0</v>
      </c>
      <c r="AC31" s="103"/>
      <c r="AD31" s="102"/>
    </row>
    <row r="32" spans="1:30">
      <c r="A32" s="110"/>
      <c r="H32" s="108"/>
      <c r="L32" t="s">
        <v>333</v>
      </c>
      <c r="AB32" s="101">
        <f>'1040 W4 PLANNER 2026'!S79</f>
        <v>0</v>
      </c>
      <c r="AC32" s="103"/>
      <c r="AD32" s="102"/>
    </row>
    <row r="33" spans="1:30">
      <c r="A33" s="110"/>
      <c r="H33" s="108"/>
      <c r="J33" t="s">
        <v>223</v>
      </c>
      <c r="L33" t="s">
        <v>374</v>
      </c>
      <c r="S33" s="6"/>
      <c r="T33" s="6"/>
      <c r="U33" s="6"/>
      <c r="V33" s="6"/>
      <c r="W33" s="6"/>
      <c r="AA33" t="s">
        <v>223</v>
      </c>
      <c r="AB33" s="101">
        <f>'1040 W4 PLANNER 2026'!S80</f>
        <v>0</v>
      </c>
      <c r="AC33" s="103"/>
      <c r="AD33" s="102"/>
    </row>
    <row r="34" spans="1:30">
      <c r="A34" s="110"/>
      <c r="B34" s="122"/>
      <c r="C34" s="122"/>
      <c r="H34" s="108"/>
      <c r="J34" t="s">
        <v>224</v>
      </c>
      <c r="L34" t="s">
        <v>334</v>
      </c>
      <c r="S34" s="6"/>
      <c r="T34" s="6"/>
      <c r="U34" s="6"/>
      <c r="V34" s="6"/>
      <c r="W34" s="6"/>
      <c r="AA34" t="s">
        <v>224</v>
      </c>
      <c r="AB34" s="163">
        <f>SUM(AB25+AB29+AB30+AB31+AB32+AB33)</f>
        <v>0</v>
      </c>
      <c r="AC34" s="164"/>
      <c r="AD34" s="165"/>
    </row>
    <row r="35" spans="1:30">
      <c r="A35" s="110"/>
      <c r="B35" s="122"/>
      <c r="C35" s="122"/>
      <c r="H35" s="108"/>
      <c r="J35" s="15"/>
      <c r="K35" s="15"/>
      <c r="L35" s="16"/>
      <c r="M35" s="16"/>
      <c r="N35" s="16"/>
      <c r="O35" s="16"/>
      <c r="P35" s="16"/>
      <c r="Q35" s="16"/>
      <c r="R35" s="16"/>
      <c r="S35" s="17"/>
      <c r="T35" s="17"/>
      <c r="U35" s="17"/>
      <c r="V35" s="17"/>
      <c r="W35" s="17"/>
      <c r="X35" s="16"/>
      <c r="Y35" s="16"/>
      <c r="Z35" s="16"/>
      <c r="AA35" s="16"/>
      <c r="AB35" s="18"/>
      <c r="AC35" s="18"/>
      <c r="AD35" s="18"/>
    </row>
    <row r="36" spans="1:30">
      <c r="A36" s="110"/>
      <c r="H36" s="108"/>
      <c r="J36" s="8">
        <v>40</v>
      </c>
      <c r="K36" s="8"/>
      <c r="L36" t="s">
        <v>335</v>
      </c>
      <c r="AA36" s="8">
        <v>40</v>
      </c>
      <c r="AB36" s="163">
        <f>'1040 W4 PLANNER 2026'!S83</f>
        <v>16100</v>
      </c>
      <c r="AC36" s="164"/>
      <c r="AD36" s="165"/>
    </row>
    <row r="37" spans="1:30">
      <c r="J37" s="8">
        <v>40</v>
      </c>
      <c r="K37" s="8"/>
      <c r="L37" t="s">
        <v>336</v>
      </c>
      <c r="AA37" s="8">
        <v>40</v>
      </c>
      <c r="AB37" s="163">
        <f>IF(AB34&gt;AB36,AB34,AB36)</f>
        <v>16100</v>
      </c>
      <c r="AC37" s="164"/>
      <c r="AD37" s="165"/>
    </row>
    <row r="38" spans="1:30">
      <c r="J38" s="8">
        <v>41</v>
      </c>
      <c r="K38" s="8"/>
      <c r="L38" t="s">
        <v>337</v>
      </c>
      <c r="AA38" s="8">
        <v>41</v>
      </c>
      <c r="AB38" s="163">
        <f>IF(AB20&gt;AB37,AB20-AB37,0)</f>
        <v>0</v>
      </c>
      <c r="AC38" s="164"/>
      <c r="AD38" s="165"/>
    </row>
    <row r="39" spans="1:30">
      <c r="J39" s="12">
        <v>43</v>
      </c>
      <c r="K39" s="12"/>
      <c r="L39" s="11" t="s">
        <v>338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2">
        <v>43</v>
      </c>
      <c r="AB39" s="155">
        <f>AB38</f>
        <v>0</v>
      </c>
      <c r="AC39" s="155"/>
      <c r="AD39" s="155"/>
    </row>
  </sheetData>
  <mergeCells count="20">
    <mergeCell ref="V18:Z18"/>
    <mergeCell ref="R15:S15"/>
    <mergeCell ref="O25:P25"/>
    <mergeCell ref="R25:S25"/>
    <mergeCell ref="AB25:AD25"/>
    <mergeCell ref="S26:T26"/>
    <mergeCell ref="Y26:Z26"/>
    <mergeCell ref="AB26:AD26"/>
    <mergeCell ref="AB27:AD27"/>
    <mergeCell ref="AB28:AD28"/>
    <mergeCell ref="AB29:AD29"/>
    <mergeCell ref="Q30:R30"/>
    <mergeCell ref="U30:V30"/>
    <mergeCell ref="X30:Y30"/>
    <mergeCell ref="AB30:AD30"/>
    <mergeCell ref="AB38:AD38"/>
    <mergeCell ref="AB39:AD39"/>
    <mergeCell ref="AB34:AD34"/>
    <mergeCell ref="AB36:AD36"/>
    <mergeCell ref="AB37:AD3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Z68"/>
  <sheetViews>
    <sheetView topLeftCell="A39" workbookViewId="0">
      <selection activeCell="M52" sqref="M52"/>
    </sheetView>
  </sheetViews>
  <sheetFormatPr defaultRowHeight="15"/>
  <cols>
    <col min="1" max="1" width="4.5703125" customWidth="1"/>
    <col min="2" max="2" width="5.42578125" customWidth="1"/>
    <col min="3" max="3" width="4.140625" customWidth="1"/>
    <col min="4" max="5" width="5.7109375" customWidth="1"/>
    <col min="6" max="6" width="10.7109375" customWidth="1"/>
    <col min="7" max="9" width="8.7109375" customWidth="1"/>
    <col min="10" max="10" width="6.7109375" customWidth="1"/>
    <col min="11" max="11" width="9.140625" customWidth="1"/>
    <col min="12" max="12" width="13.85546875" customWidth="1"/>
    <col min="13" max="13" width="15.140625" bestFit="1" customWidth="1"/>
    <col min="14" max="14" width="15.140625" customWidth="1"/>
    <col min="15" max="15" width="16" customWidth="1"/>
    <col min="16" max="16" width="14.140625" customWidth="1"/>
    <col min="17" max="17" width="17.28515625" customWidth="1"/>
    <col min="18" max="18" width="17.7109375" customWidth="1"/>
    <col min="19" max="19" width="2.7109375" customWidth="1"/>
    <col min="20" max="20" width="15.85546875" customWidth="1"/>
    <col min="21" max="21" width="15.140625" customWidth="1"/>
    <col min="22" max="22" width="10" customWidth="1"/>
    <col min="23" max="23" width="12.7109375" customWidth="1"/>
  </cols>
  <sheetData>
    <row r="1" spans="1:23">
      <c r="A1" s="76" t="s">
        <v>578</v>
      </c>
      <c r="B1" s="34"/>
      <c r="C1" s="34"/>
      <c r="D1" s="34"/>
      <c r="M1" s="34" t="s">
        <v>538</v>
      </c>
      <c r="N1" s="34"/>
    </row>
    <row r="2" spans="1:23">
      <c r="A2" t="s">
        <v>46</v>
      </c>
    </row>
    <row r="3" spans="1:23" ht="45" customHeight="1">
      <c r="B3" s="9" t="s">
        <v>7</v>
      </c>
      <c r="C3" s="9" t="s">
        <v>284</v>
      </c>
      <c r="D3" s="9" t="s">
        <v>9</v>
      </c>
      <c r="E3" s="9" t="s">
        <v>10</v>
      </c>
      <c r="F3" s="10" t="s">
        <v>288</v>
      </c>
      <c r="G3" s="10" t="s">
        <v>280</v>
      </c>
      <c r="H3" s="10" t="s">
        <v>282</v>
      </c>
      <c r="I3" s="10" t="s">
        <v>289</v>
      </c>
      <c r="J3" s="10" t="s">
        <v>12</v>
      </c>
      <c r="K3" s="10" t="s">
        <v>284</v>
      </c>
      <c r="L3" s="10" t="s">
        <v>292</v>
      </c>
      <c r="M3" s="10" t="s">
        <v>11</v>
      </c>
      <c r="N3" s="10"/>
      <c r="O3" s="10" t="s">
        <v>37</v>
      </c>
      <c r="P3" s="10" t="s">
        <v>15</v>
      </c>
      <c r="Q3" s="10" t="s">
        <v>14</v>
      </c>
      <c r="R3" s="10" t="s">
        <v>39</v>
      </c>
      <c r="S3" s="7" t="s">
        <v>13</v>
      </c>
      <c r="T3" s="24" t="s">
        <v>43</v>
      </c>
      <c r="U3" s="24" t="s">
        <v>42</v>
      </c>
    </row>
    <row r="4" spans="1:23">
      <c r="A4">
        <v>1</v>
      </c>
      <c r="B4" s="2" t="str">
        <f>'1040 W4 PLANNER 2026'!A12</f>
        <v>T</v>
      </c>
      <c r="C4" s="2">
        <f>'1040 W4 PLANNER 2026'!B12</f>
        <v>0</v>
      </c>
      <c r="D4" s="2">
        <f>'1040 W4 PLANNER 2026'!H12</f>
        <v>0</v>
      </c>
      <c r="E4" s="2">
        <f>'1040 W4 PLANNER 2026'!I12</f>
        <v>0</v>
      </c>
      <c r="F4" s="22">
        <f>'1040 W4 PLANNER 2026'!J12</f>
        <v>0</v>
      </c>
      <c r="G4" s="2">
        <f>'1040 W4 PLANNER 2026'!K12</f>
        <v>0</v>
      </c>
      <c r="H4" s="85">
        <f>'1040 W4 PLANNER 2026'!L12</f>
        <v>0</v>
      </c>
      <c r="I4" s="85">
        <f>'1040 W4 PLANNER 2026'!M12</f>
        <v>0</v>
      </c>
      <c r="J4" s="1">
        <f>'1040 W4 PLANNER 2026'!N12</f>
        <v>0</v>
      </c>
      <c r="K4" s="1"/>
      <c r="L4" s="1"/>
      <c r="M4" s="13">
        <f>'1040 W4 PLANNER 2026'!O12</f>
        <v>0</v>
      </c>
      <c r="N4" s="13"/>
      <c r="O4" s="13">
        <f>M4*E4</f>
        <v>0</v>
      </c>
      <c r="P4" s="14" t="s">
        <v>302</v>
      </c>
      <c r="Q4" s="14">
        <f>IF(F4="M",R23,IF(F4="S",R14,IF(F4="H",R32,IF(F4=0,0))))</f>
        <v>0</v>
      </c>
      <c r="R4" s="14">
        <f>Q4*E4</f>
        <v>0</v>
      </c>
      <c r="S4" s="2">
        <f>'1040 W4 PLANNER 2026'!U12</f>
        <v>0</v>
      </c>
      <c r="T4" s="23">
        <f>IF(B4="T", O4,0)</f>
        <v>0</v>
      </c>
      <c r="U4">
        <f>IF(B4="S", O4,0)</f>
        <v>0</v>
      </c>
    </row>
    <row r="5" spans="1:23">
      <c r="A5">
        <v>2</v>
      </c>
      <c r="B5" s="2" t="str">
        <f>'1040 W4 PLANNER 2026'!A13</f>
        <v>T</v>
      </c>
      <c r="C5" s="2" t="str">
        <f>'1040 W4 PLANNER 2026'!B13</f>
        <v>Y</v>
      </c>
      <c r="D5" s="2">
        <f>'1040 W4 PLANNER 2026'!H13</f>
        <v>0</v>
      </c>
      <c r="E5" s="2">
        <f>'1040 W4 PLANNER 2026'!I13</f>
        <v>0</v>
      </c>
      <c r="F5" s="22">
        <f>'1040 W4 PLANNER 2026'!J13</f>
        <v>0</v>
      </c>
      <c r="G5" s="2">
        <f>'1040 W4 PLANNER 2026'!K13</f>
        <v>0</v>
      </c>
      <c r="H5" s="85">
        <f>'1040 W4 PLANNER 2026'!L13</f>
        <v>0</v>
      </c>
      <c r="I5" s="85">
        <f>'1040 W4 PLANNER 2026'!M13</f>
        <v>0</v>
      </c>
      <c r="J5" s="1">
        <f>'1040 W4 PLANNER 2026'!N13</f>
        <v>0</v>
      </c>
      <c r="K5" s="1"/>
      <c r="L5" s="1"/>
      <c r="M5" s="13">
        <f>'1040 W4 PLANNER 2026'!O13</f>
        <v>0</v>
      </c>
      <c r="N5" s="13"/>
      <c r="O5" s="13">
        <f t="shared" ref="O5:O11" si="0">M5*E5</f>
        <v>0</v>
      </c>
      <c r="P5" s="14" t="s">
        <v>302</v>
      </c>
      <c r="Q5" s="14">
        <f>IF(F5="M",R24,IF(F5="S",R15,IF(F5="H",R33,IF(F5=0,0))))</f>
        <v>0</v>
      </c>
      <c r="R5" s="14">
        <f t="shared" ref="R5:R11" si="1">Q5*E5</f>
        <v>0</v>
      </c>
      <c r="S5" s="2"/>
      <c r="T5" s="23">
        <f t="shared" ref="T5:T11" si="2">IF(B5="T", O5,0)</f>
        <v>0</v>
      </c>
      <c r="U5">
        <f t="shared" ref="U5:U11" si="3">IF(B5="S", O5,0)</f>
        <v>0</v>
      </c>
    </row>
    <row r="6" spans="1:23">
      <c r="A6">
        <v>3</v>
      </c>
      <c r="B6" s="2">
        <f>'1040 W4 PLANNER 2026'!A14</f>
        <v>0</v>
      </c>
      <c r="C6" s="2">
        <f>'1040 W4 PLANNER 2026'!B14</f>
        <v>0</v>
      </c>
      <c r="D6" s="2">
        <f>'1040 W4 PLANNER 2026'!H14</f>
        <v>0</v>
      </c>
      <c r="E6" s="2">
        <f>'1040 W4 PLANNER 2026'!I14</f>
        <v>0</v>
      </c>
      <c r="F6" s="22">
        <f>'1040 W4 PLANNER 2026'!J14</f>
        <v>0</v>
      </c>
      <c r="G6" s="2">
        <f>'1040 W4 PLANNER 2026'!K14</f>
        <v>0</v>
      </c>
      <c r="H6" s="85">
        <f>'1040 W4 PLANNER 2026'!L14</f>
        <v>0</v>
      </c>
      <c r="I6" s="85">
        <f>'1040 W4 PLANNER 2026'!M14</f>
        <v>0</v>
      </c>
      <c r="J6" s="1">
        <f>'1040 W4 PLANNER 2026'!N14</f>
        <v>0</v>
      </c>
      <c r="K6" s="1"/>
      <c r="L6" s="1"/>
      <c r="M6" s="13">
        <f>'1040 W4 PLANNER 2026'!O14</f>
        <v>0</v>
      </c>
      <c r="N6" s="13"/>
      <c r="O6" s="13">
        <f t="shared" si="0"/>
        <v>0</v>
      </c>
      <c r="P6" s="14" t="s">
        <v>302</v>
      </c>
      <c r="Q6" s="14">
        <f t="shared" ref="Q6:Q11" si="4">IF(F6="M",R25,IF(F6="S",R16,IF(F6="H",R34,IF(F6=0,0))))</f>
        <v>0</v>
      </c>
      <c r="R6" s="14">
        <f t="shared" si="1"/>
        <v>0</v>
      </c>
      <c r="S6" s="2"/>
      <c r="T6" s="23">
        <f t="shared" si="2"/>
        <v>0</v>
      </c>
      <c r="U6">
        <f t="shared" si="3"/>
        <v>0</v>
      </c>
    </row>
    <row r="7" spans="1:23">
      <c r="A7">
        <v>4</v>
      </c>
      <c r="B7" s="2">
        <f>'1040 W4 PLANNER 2026'!A15</f>
        <v>0</v>
      </c>
      <c r="C7" s="2">
        <f>'1040 W4 PLANNER 2026'!B15</f>
        <v>0</v>
      </c>
      <c r="D7" s="2">
        <f>'1040 W4 PLANNER 2026'!H15</f>
        <v>0</v>
      </c>
      <c r="E7" s="2">
        <f>'1040 W4 PLANNER 2026'!I15</f>
        <v>0</v>
      </c>
      <c r="F7" s="22">
        <f>'1040 W4 PLANNER 2026'!J15</f>
        <v>0</v>
      </c>
      <c r="G7" s="2">
        <f>'1040 W4 PLANNER 2026'!K15</f>
        <v>0</v>
      </c>
      <c r="H7" s="85">
        <f>'1040 W4 PLANNER 2026'!L15</f>
        <v>0</v>
      </c>
      <c r="I7" s="85">
        <f>'1040 W4 PLANNER 2026'!M15</f>
        <v>0</v>
      </c>
      <c r="J7" s="1">
        <f>'1040 W4 PLANNER 2026'!N15</f>
        <v>0</v>
      </c>
      <c r="K7" s="1"/>
      <c r="L7" s="1"/>
      <c r="M7" s="13">
        <f>'1040 W4 PLANNER 2026'!O15</f>
        <v>0</v>
      </c>
      <c r="N7" s="13"/>
      <c r="O7" s="13">
        <f t="shared" si="0"/>
        <v>0</v>
      </c>
      <c r="P7" s="14" t="s">
        <v>302</v>
      </c>
      <c r="Q7" s="14">
        <f t="shared" si="4"/>
        <v>0</v>
      </c>
      <c r="R7" s="14">
        <f t="shared" si="1"/>
        <v>0</v>
      </c>
      <c r="S7" s="2"/>
      <c r="T7" s="23">
        <f t="shared" si="2"/>
        <v>0</v>
      </c>
      <c r="U7">
        <f t="shared" si="3"/>
        <v>0</v>
      </c>
    </row>
    <row r="8" spans="1:23">
      <c r="A8">
        <v>5</v>
      </c>
      <c r="B8" s="2">
        <f>'1040 W4 PLANNER 2026'!A16</f>
        <v>0</v>
      </c>
      <c r="C8" s="2">
        <f>'1040 W4 PLANNER 2026'!B16</f>
        <v>0</v>
      </c>
      <c r="D8" s="2">
        <f>'1040 W4 PLANNER 2026'!H16</f>
        <v>0</v>
      </c>
      <c r="E8" s="2">
        <f>'1040 W4 PLANNER 2026'!I16</f>
        <v>0</v>
      </c>
      <c r="F8" s="22">
        <f>'1040 W4 PLANNER 2026'!J16</f>
        <v>0</v>
      </c>
      <c r="G8" s="2">
        <f>'1040 W4 PLANNER 2026'!K16</f>
        <v>0</v>
      </c>
      <c r="H8" s="85">
        <f>'1040 W4 PLANNER 2026'!L16</f>
        <v>0</v>
      </c>
      <c r="I8" s="85">
        <f>'1040 W4 PLANNER 2026'!M16</f>
        <v>0</v>
      </c>
      <c r="J8" s="1">
        <f>'1040 W4 PLANNER 2026'!N16</f>
        <v>0</v>
      </c>
      <c r="K8" s="1"/>
      <c r="L8" s="1"/>
      <c r="M8" s="13">
        <f>'1040 W4 PLANNER 2026'!O16</f>
        <v>0</v>
      </c>
      <c r="N8" s="13"/>
      <c r="O8" s="13">
        <f t="shared" si="0"/>
        <v>0</v>
      </c>
      <c r="P8" s="14" t="s">
        <v>302</v>
      </c>
      <c r="Q8" s="14">
        <f t="shared" si="4"/>
        <v>0</v>
      </c>
      <c r="R8" s="14">
        <f t="shared" si="1"/>
        <v>0</v>
      </c>
      <c r="S8" s="2"/>
      <c r="T8" s="23">
        <f t="shared" si="2"/>
        <v>0</v>
      </c>
      <c r="U8">
        <f t="shared" si="3"/>
        <v>0</v>
      </c>
    </row>
    <row r="9" spans="1:23">
      <c r="A9">
        <v>6</v>
      </c>
      <c r="B9" s="2">
        <f>'1040 W4 PLANNER 2026'!A17</f>
        <v>0</v>
      </c>
      <c r="C9" s="2">
        <f>'1040 W4 PLANNER 2026'!B17</f>
        <v>0</v>
      </c>
      <c r="D9" s="2">
        <f>'1040 W4 PLANNER 2026'!H17</f>
        <v>0</v>
      </c>
      <c r="E9" s="2">
        <f>'1040 W4 PLANNER 2026'!I17</f>
        <v>0</v>
      </c>
      <c r="F9" s="22">
        <f>'1040 W4 PLANNER 2026'!J17</f>
        <v>0</v>
      </c>
      <c r="G9" s="2">
        <f>'1040 W4 PLANNER 2026'!K17</f>
        <v>0</v>
      </c>
      <c r="H9" s="85">
        <f>'1040 W4 PLANNER 2026'!L17</f>
        <v>0</v>
      </c>
      <c r="I9" s="85">
        <f>'1040 W4 PLANNER 2026'!M17</f>
        <v>0</v>
      </c>
      <c r="J9" s="1">
        <f>'1040 W4 PLANNER 2026'!N17</f>
        <v>0</v>
      </c>
      <c r="K9" s="1"/>
      <c r="L9" s="1"/>
      <c r="M9" s="13">
        <f>'1040 W4 PLANNER 2026'!O17</f>
        <v>0</v>
      </c>
      <c r="N9" s="13"/>
      <c r="O9" s="13">
        <f t="shared" si="0"/>
        <v>0</v>
      </c>
      <c r="P9" s="14" t="s">
        <v>302</v>
      </c>
      <c r="Q9" s="14">
        <f t="shared" si="4"/>
        <v>0</v>
      </c>
      <c r="R9" s="14">
        <f t="shared" si="1"/>
        <v>0</v>
      </c>
      <c r="S9" s="2"/>
      <c r="T9" s="23">
        <f t="shared" si="2"/>
        <v>0</v>
      </c>
      <c r="U9">
        <f t="shared" si="3"/>
        <v>0</v>
      </c>
    </row>
    <row r="10" spans="1:23">
      <c r="A10">
        <v>7</v>
      </c>
      <c r="B10" s="2">
        <f>'1040 W4 PLANNER 2026'!A18</f>
        <v>0</v>
      </c>
      <c r="C10" s="2">
        <f>'1040 W4 PLANNER 2026'!B18</f>
        <v>0</v>
      </c>
      <c r="D10" s="2">
        <f>'1040 W4 PLANNER 2026'!H18</f>
        <v>0</v>
      </c>
      <c r="E10" s="2">
        <f>'1040 W4 PLANNER 2026'!I18</f>
        <v>0</v>
      </c>
      <c r="F10" s="22">
        <f>'1040 W4 PLANNER 2026'!J18</f>
        <v>0</v>
      </c>
      <c r="G10" s="2">
        <f>'1040 W4 PLANNER 2026'!K18</f>
        <v>0</v>
      </c>
      <c r="H10" s="85">
        <f>'1040 W4 PLANNER 2026'!L18</f>
        <v>0</v>
      </c>
      <c r="I10" s="85">
        <f>'1040 W4 PLANNER 2026'!M18</f>
        <v>0</v>
      </c>
      <c r="J10" s="1">
        <f>'1040 W4 PLANNER 2026'!N18</f>
        <v>0</v>
      </c>
      <c r="K10" s="1"/>
      <c r="L10" s="1"/>
      <c r="M10" s="13">
        <f>'1040 W4 PLANNER 2026'!O18</f>
        <v>0</v>
      </c>
      <c r="N10" s="13"/>
      <c r="O10" s="13">
        <f t="shared" si="0"/>
        <v>0</v>
      </c>
      <c r="P10" s="14" t="s">
        <v>302</v>
      </c>
      <c r="Q10" s="14">
        <f t="shared" si="4"/>
        <v>0</v>
      </c>
      <c r="R10" s="14">
        <f t="shared" si="1"/>
        <v>0</v>
      </c>
      <c r="S10" s="2"/>
      <c r="T10" s="23">
        <f t="shared" si="2"/>
        <v>0</v>
      </c>
      <c r="U10">
        <f t="shared" si="3"/>
        <v>0</v>
      </c>
    </row>
    <row r="11" spans="1:23">
      <c r="A11">
        <v>8</v>
      </c>
      <c r="B11" s="2">
        <f>'1040 W4 PLANNER 2026'!A19</f>
        <v>0</v>
      </c>
      <c r="C11" s="2">
        <f>'1040 W4 PLANNER 2026'!B19</f>
        <v>0</v>
      </c>
      <c r="D11" s="2">
        <f>'1040 W4 PLANNER 2026'!H19</f>
        <v>0</v>
      </c>
      <c r="E11" s="2">
        <f>'1040 W4 PLANNER 2026'!I19</f>
        <v>0</v>
      </c>
      <c r="F11" s="22">
        <f>'1040 W4 PLANNER 2026'!J19</f>
        <v>0</v>
      </c>
      <c r="G11" s="2">
        <f>'1040 W4 PLANNER 2026'!K19</f>
        <v>0</v>
      </c>
      <c r="H11" s="85">
        <f>'1040 W4 PLANNER 2026'!L19</f>
        <v>0</v>
      </c>
      <c r="I11" s="85">
        <f>'1040 W4 PLANNER 2026'!M19</f>
        <v>0</v>
      </c>
      <c r="J11" s="1">
        <f>'1040 W4 PLANNER 2026'!N19</f>
        <v>0</v>
      </c>
      <c r="K11" s="1"/>
      <c r="L11" s="1"/>
      <c r="M11" s="13">
        <f>'1040 W4 PLANNER 2026'!O19</f>
        <v>0</v>
      </c>
      <c r="N11" s="13"/>
      <c r="O11" s="13">
        <f t="shared" si="0"/>
        <v>0</v>
      </c>
      <c r="P11" s="14" t="s">
        <v>302</v>
      </c>
      <c r="Q11" s="14">
        <f t="shared" si="4"/>
        <v>0</v>
      </c>
      <c r="R11" s="14">
        <f t="shared" si="1"/>
        <v>0</v>
      </c>
      <c r="S11" s="2"/>
      <c r="T11" s="23">
        <f t="shared" si="2"/>
        <v>0</v>
      </c>
      <c r="U11">
        <f t="shared" si="3"/>
        <v>0</v>
      </c>
    </row>
    <row r="12" spans="1:23">
      <c r="R12" s="19">
        <f>SUM(R4:R11)</f>
        <v>0</v>
      </c>
      <c r="T12" s="19">
        <f>SUM(T4:T11)</f>
        <v>0</v>
      </c>
      <c r="U12">
        <f>SUM(U4:U11)</f>
        <v>0</v>
      </c>
    </row>
    <row r="13" spans="1:23" ht="45">
      <c r="A13" s="34" t="s">
        <v>92</v>
      </c>
      <c r="D13" t="s">
        <v>47</v>
      </c>
      <c r="E13" s="26" t="s">
        <v>48</v>
      </c>
      <c r="F13" s="26" t="s">
        <v>290</v>
      </c>
      <c r="G13" s="34" t="s">
        <v>291</v>
      </c>
      <c r="H13" s="89" t="s">
        <v>293</v>
      </c>
      <c r="I13" s="89" t="s">
        <v>294</v>
      </c>
      <c r="J13" t="s">
        <v>12</v>
      </c>
      <c r="K13" s="90" t="s">
        <v>295</v>
      </c>
      <c r="L13" t="s">
        <v>296</v>
      </c>
      <c r="M13" s="26" t="s">
        <v>297</v>
      </c>
      <c r="N13" s="26" t="s">
        <v>298</v>
      </c>
      <c r="O13" s="26" t="s">
        <v>413</v>
      </c>
      <c r="P13" s="132" t="s">
        <v>300</v>
      </c>
      <c r="Q13" s="26" t="s">
        <v>301</v>
      </c>
      <c r="R13" s="132" t="s">
        <v>387</v>
      </c>
      <c r="U13" s="26"/>
      <c r="V13" s="26" t="s">
        <v>24</v>
      </c>
      <c r="W13" t="s">
        <v>277</v>
      </c>
    </row>
    <row r="14" spans="1:23">
      <c r="A14">
        <v>1</v>
      </c>
      <c r="B14" s="6"/>
      <c r="C14" s="6">
        <f t="shared" ref="C14:C21" si="5">C4</f>
        <v>0</v>
      </c>
      <c r="D14">
        <f>D4</f>
        <v>0</v>
      </c>
      <c r="E14">
        <f>E4</f>
        <v>0</v>
      </c>
      <c r="F14" s="19">
        <f>M4*D14</f>
        <v>0</v>
      </c>
      <c r="G14">
        <f t="shared" ref="G14:I15" si="6">G4</f>
        <v>0</v>
      </c>
      <c r="H14" s="86">
        <f t="shared" si="6"/>
        <v>0</v>
      </c>
      <c r="I14" s="86">
        <f t="shared" si="6"/>
        <v>0</v>
      </c>
      <c r="J14">
        <f>'1040 W4 PLANNER 2026'!N12</f>
        <v>0</v>
      </c>
      <c r="K14">
        <f>IF(C14="N",8600,0)</f>
        <v>0</v>
      </c>
      <c r="L14" s="19">
        <f>IF(F14+H14-I14-K14&lt;0,0,F14+H14-I14-K14)</f>
        <v>0</v>
      </c>
      <c r="M14" s="36">
        <f>IF(L14&lt;8050,0,IF(L14&lt;14250,(L14-7500)*0.1,IF(L14&lt;33250,(L14-14250)*0.12+820,IF(L14&lt;6090,(L14-33250)*0.22+2900,IF(L14&lt;108938,(L14-60900)*0.24+8983,IF(L14&lt;136163,(L14-108938)*0.32+20812,IF(L14&lt;328350,(L14-136163)*0.35+29224,(L14-328350)*0.37+96490)))))))</f>
        <v>0</v>
      </c>
      <c r="N14" s="36">
        <f>IF(L14&lt;7500,0,IF(L14&lt;19900,(L14-7500)*0.1,IF(L14&lt;57900,(L14-19900)*0.12+1240,IF(L14&lt;113200,(L14-57900)*0.22+5800,IF(L14&lt;209275,(L14-113200)*0.24+17966,IF(L14&lt;263725,(L14-209275)*0.32+41024,IF(L14&lt;648100,(L14-263725)*0.35+58448,(L14-648100)*0.37+192279)))))))</f>
        <v>0</v>
      </c>
      <c r="O14" s="20">
        <f>IF(C14="Y",M14,N14)</f>
        <v>0</v>
      </c>
      <c r="P14" s="20">
        <f>IF(D14&lt;&gt;0,(((O14-G14)/D14)+J14),0)</f>
        <v>0</v>
      </c>
      <c r="Q14" s="20">
        <f>P14*E14</f>
        <v>0</v>
      </c>
      <c r="R14" s="20">
        <f>IF(D14=1,W14,IF(P14&lt;0,0,P14))</f>
        <v>0</v>
      </c>
      <c r="T14" t="s">
        <v>40</v>
      </c>
      <c r="U14" s="36"/>
      <c r="V14" s="20"/>
      <c r="W14" s="20">
        <f>IF(D14=1,F14*0.22,0)</f>
        <v>0</v>
      </c>
    </row>
    <row r="15" spans="1:23">
      <c r="A15">
        <v>2</v>
      </c>
      <c r="B15" s="6"/>
      <c r="C15" s="6" t="str">
        <f t="shared" si="5"/>
        <v>Y</v>
      </c>
      <c r="D15">
        <f t="shared" ref="D15:D21" si="7">D5</f>
        <v>0</v>
      </c>
      <c r="E15">
        <f t="shared" ref="E15:E21" si="8">E5</f>
        <v>0</v>
      </c>
      <c r="F15" s="19">
        <f>M5*D15</f>
        <v>0</v>
      </c>
      <c r="G15">
        <f t="shared" si="6"/>
        <v>0</v>
      </c>
      <c r="H15" s="86">
        <f t="shared" si="6"/>
        <v>0</v>
      </c>
      <c r="I15" s="86">
        <f t="shared" si="6"/>
        <v>0</v>
      </c>
      <c r="J15">
        <f>'1040 W4 PLANNER 2026'!N13</f>
        <v>0</v>
      </c>
      <c r="K15">
        <f t="shared" ref="K15:K21" si="9">IF(C15="N",8600,0)</f>
        <v>0</v>
      </c>
      <c r="L15" s="19">
        <f t="shared" ref="L15:L21" si="10">IF(F15+H15-I15-K15&lt;0,0,F15+H15-I15-K15)</f>
        <v>0</v>
      </c>
      <c r="M15" s="36">
        <f t="shared" ref="M15:M21" si="11">IF(L15&lt;8050,0,IF(L15&lt;14250,(L15-7500)*0.1,IF(L15&lt;33250,(L15-14250)*0.12+820,IF(L15&lt;6090,(L15-33250)*0.22+2900,IF(L15&lt;108938,(L15-60900)*0.24+8983,IF(L15&lt;136163,(L15-108938)*0.32+20812,IF(L15&lt;328350,(L15-136163)*0.35+29224,(L15-328350)*0.37+96490)))))))</f>
        <v>0</v>
      </c>
      <c r="N15" s="36">
        <f t="shared" ref="N15:N21" si="12">IF(L15&lt;7500,0,IF(L15&lt;19900,(L15-7500)*0.1,IF(L15&lt;57900,(L15-19900)*0.12+1240,IF(L15&lt;113200,(L15-57900)*0.22+5800,IF(L15&lt;209275,(L15-113200)*0.24+17966,IF(L15&lt;263725,(L15-209275)*0.32+41024,IF(L15&lt;648100,(L15-263725)*0.35+58448,(L15-648100)*0.37+192279)))))))</f>
        <v>0</v>
      </c>
      <c r="O15" s="20">
        <f t="shared" ref="O15:O21" si="13">IF(C15="Y",M15,N15)</f>
        <v>0</v>
      </c>
      <c r="P15" s="20">
        <f t="shared" ref="P15:P21" si="14">IF(D15&lt;&gt;0,(((O15-G15)/D15)+J15),0)</f>
        <v>0</v>
      </c>
      <c r="Q15" s="20">
        <f t="shared" ref="Q15:Q21" si="15">P15*E15</f>
        <v>0</v>
      </c>
      <c r="R15" s="20">
        <f t="shared" ref="R15:R21" si="16">IF(D15=1,W15,IF(P15&lt;0,0,P15))</f>
        <v>0</v>
      </c>
      <c r="T15" t="s">
        <v>40</v>
      </c>
      <c r="U15" s="36"/>
      <c r="W15" s="20">
        <f>IF(D15=1,F15*0.22,0)</f>
        <v>0</v>
      </c>
    </row>
    <row r="16" spans="1:23">
      <c r="A16">
        <v>3</v>
      </c>
      <c r="B16" s="6"/>
      <c r="C16" s="6">
        <f t="shared" si="5"/>
        <v>0</v>
      </c>
      <c r="D16">
        <f t="shared" si="7"/>
        <v>0</v>
      </c>
      <c r="E16">
        <f t="shared" si="8"/>
        <v>0</v>
      </c>
      <c r="F16" s="19">
        <f t="shared" ref="F16:F21" si="17">M6*D16</f>
        <v>0</v>
      </c>
      <c r="G16">
        <f t="shared" ref="G16:I21" si="18">G6</f>
        <v>0</v>
      </c>
      <c r="H16" s="86">
        <f t="shared" si="18"/>
        <v>0</v>
      </c>
      <c r="I16" s="86">
        <f t="shared" si="18"/>
        <v>0</v>
      </c>
      <c r="J16">
        <f>'1040 W4 PLANNER 2026'!N14</f>
        <v>0</v>
      </c>
      <c r="K16">
        <f t="shared" si="9"/>
        <v>0</v>
      </c>
      <c r="L16" s="19">
        <f t="shared" si="10"/>
        <v>0</v>
      </c>
      <c r="M16" s="36">
        <f t="shared" si="11"/>
        <v>0</v>
      </c>
      <c r="N16" s="36">
        <f t="shared" si="12"/>
        <v>0</v>
      </c>
      <c r="O16" s="20">
        <f t="shared" si="13"/>
        <v>0</v>
      </c>
      <c r="P16" s="20">
        <f t="shared" si="14"/>
        <v>0</v>
      </c>
      <c r="Q16" s="20">
        <f t="shared" si="15"/>
        <v>0</v>
      </c>
      <c r="R16" s="20">
        <f t="shared" si="16"/>
        <v>0</v>
      </c>
      <c r="T16" t="s">
        <v>40</v>
      </c>
      <c r="U16" s="36"/>
      <c r="W16" s="20">
        <f t="shared" ref="W16:W39" si="19">IF(D16=1,F16*0.22,0)</f>
        <v>0</v>
      </c>
    </row>
    <row r="17" spans="1:26">
      <c r="A17">
        <v>4</v>
      </c>
      <c r="B17" s="6"/>
      <c r="C17" s="6">
        <f t="shared" si="5"/>
        <v>0</v>
      </c>
      <c r="D17">
        <f t="shared" si="7"/>
        <v>0</v>
      </c>
      <c r="E17">
        <f t="shared" si="8"/>
        <v>0</v>
      </c>
      <c r="F17" s="19">
        <f t="shared" si="17"/>
        <v>0</v>
      </c>
      <c r="G17">
        <f t="shared" si="18"/>
        <v>0</v>
      </c>
      <c r="H17" s="86">
        <f t="shared" si="18"/>
        <v>0</v>
      </c>
      <c r="I17" s="86">
        <f t="shared" si="18"/>
        <v>0</v>
      </c>
      <c r="J17">
        <f>'1040 W4 PLANNER 2026'!N15</f>
        <v>0</v>
      </c>
      <c r="K17">
        <f t="shared" si="9"/>
        <v>0</v>
      </c>
      <c r="L17" s="19">
        <f t="shared" si="10"/>
        <v>0</v>
      </c>
      <c r="M17" s="36">
        <f t="shared" si="11"/>
        <v>0</v>
      </c>
      <c r="N17" s="36">
        <f t="shared" si="12"/>
        <v>0</v>
      </c>
      <c r="O17" s="20">
        <f t="shared" si="13"/>
        <v>0</v>
      </c>
      <c r="P17" s="20">
        <f t="shared" si="14"/>
        <v>0</v>
      </c>
      <c r="Q17" s="20">
        <f t="shared" si="15"/>
        <v>0</v>
      </c>
      <c r="R17" s="20">
        <f t="shared" si="16"/>
        <v>0</v>
      </c>
      <c r="T17" t="s">
        <v>40</v>
      </c>
      <c r="U17" s="36"/>
      <c r="W17" s="20">
        <f t="shared" si="19"/>
        <v>0</v>
      </c>
    </row>
    <row r="18" spans="1:26">
      <c r="A18">
        <v>5</v>
      </c>
      <c r="B18" s="6"/>
      <c r="C18" s="6">
        <f t="shared" si="5"/>
        <v>0</v>
      </c>
      <c r="D18">
        <f t="shared" si="7"/>
        <v>0</v>
      </c>
      <c r="E18">
        <f t="shared" si="8"/>
        <v>0</v>
      </c>
      <c r="F18" s="19">
        <f t="shared" si="17"/>
        <v>0</v>
      </c>
      <c r="G18">
        <f t="shared" si="18"/>
        <v>0</v>
      </c>
      <c r="H18" s="86">
        <f t="shared" si="18"/>
        <v>0</v>
      </c>
      <c r="I18" s="86">
        <f t="shared" si="18"/>
        <v>0</v>
      </c>
      <c r="J18">
        <f>'1040 W4 PLANNER 2026'!N16</f>
        <v>0</v>
      </c>
      <c r="K18">
        <f t="shared" si="9"/>
        <v>0</v>
      </c>
      <c r="L18" s="19">
        <f t="shared" si="10"/>
        <v>0</v>
      </c>
      <c r="M18" s="36">
        <f t="shared" si="11"/>
        <v>0</v>
      </c>
      <c r="N18" s="36">
        <f t="shared" si="12"/>
        <v>0</v>
      </c>
      <c r="O18" s="20">
        <f t="shared" si="13"/>
        <v>0</v>
      </c>
      <c r="P18" s="20">
        <f t="shared" si="14"/>
        <v>0</v>
      </c>
      <c r="Q18" s="20">
        <f t="shared" si="15"/>
        <v>0</v>
      </c>
      <c r="R18" s="20">
        <f t="shared" si="16"/>
        <v>0</v>
      </c>
      <c r="T18" t="s">
        <v>40</v>
      </c>
      <c r="U18" s="36"/>
      <c r="W18" s="20">
        <f t="shared" si="19"/>
        <v>0</v>
      </c>
    </row>
    <row r="19" spans="1:26">
      <c r="A19">
        <v>6</v>
      </c>
      <c r="B19" s="6"/>
      <c r="C19" s="6">
        <f t="shared" si="5"/>
        <v>0</v>
      </c>
      <c r="D19">
        <f t="shared" si="7"/>
        <v>0</v>
      </c>
      <c r="E19">
        <f t="shared" si="8"/>
        <v>0</v>
      </c>
      <c r="F19" s="19">
        <f t="shared" si="17"/>
        <v>0</v>
      </c>
      <c r="G19">
        <f t="shared" si="18"/>
        <v>0</v>
      </c>
      <c r="H19" s="86">
        <f t="shared" si="18"/>
        <v>0</v>
      </c>
      <c r="I19" s="86">
        <f t="shared" si="18"/>
        <v>0</v>
      </c>
      <c r="J19">
        <f>'1040 W4 PLANNER 2026'!N17</f>
        <v>0</v>
      </c>
      <c r="K19">
        <f t="shared" si="9"/>
        <v>0</v>
      </c>
      <c r="L19" s="19">
        <f t="shared" si="10"/>
        <v>0</v>
      </c>
      <c r="M19" s="36">
        <f t="shared" si="11"/>
        <v>0</v>
      </c>
      <c r="N19" s="36">
        <f t="shared" si="12"/>
        <v>0</v>
      </c>
      <c r="O19" s="20">
        <f t="shared" si="13"/>
        <v>0</v>
      </c>
      <c r="P19" s="20">
        <f t="shared" si="14"/>
        <v>0</v>
      </c>
      <c r="Q19" s="20">
        <f t="shared" si="15"/>
        <v>0</v>
      </c>
      <c r="R19" s="20">
        <f t="shared" si="16"/>
        <v>0</v>
      </c>
      <c r="T19" t="s">
        <v>40</v>
      </c>
      <c r="U19" s="36"/>
      <c r="W19" s="20">
        <f t="shared" si="19"/>
        <v>0</v>
      </c>
    </row>
    <row r="20" spans="1:26">
      <c r="A20">
        <v>7</v>
      </c>
      <c r="B20" s="6"/>
      <c r="C20" s="6">
        <f t="shared" si="5"/>
        <v>0</v>
      </c>
      <c r="D20">
        <f t="shared" si="7"/>
        <v>0</v>
      </c>
      <c r="E20">
        <f t="shared" si="8"/>
        <v>0</v>
      </c>
      <c r="F20" s="19">
        <f t="shared" si="17"/>
        <v>0</v>
      </c>
      <c r="G20">
        <f t="shared" si="18"/>
        <v>0</v>
      </c>
      <c r="H20" s="86">
        <f t="shared" si="18"/>
        <v>0</v>
      </c>
      <c r="I20" s="86">
        <f t="shared" si="18"/>
        <v>0</v>
      </c>
      <c r="J20">
        <f>'1040 W4 PLANNER 2026'!N18</f>
        <v>0</v>
      </c>
      <c r="K20">
        <f t="shared" si="9"/>
        <v>0</v>
      </c>
      <c r="L20" s="19">
        <f t="shared" si="10"/>
        <v>0</v>
      </c>
      <c r="M20" s="36">
        <f t="shared" si="11"/>
        <v>0</v>
      </c>
      <c r="N20" s="36">
        <f t="shared" si="12"/>
        <v>0</v>
      </c>
      <c r="O20" s="20">
        <f t="shared" si="13"/>
        <v>0</v>
      </c>
      <c r="P20" s="20">
        <f t="shared" si="14"/>
        <v>0</v>
      </c>
      <c r="Q20" s="20">
        <f t="shared" si="15"/>
        <v>0</v>
      </c>
      <c r="R20" s="20">
        <f t="shared" si="16"/>
        <v>0</v>
      </c>
      <c r="T20" t="s">
        <v>40</v>
      </c>
      <c r="U20" s="36"/>
      <c r="W20" s="20">
        <f t="shared" si="19"/>
        <v>0</v>
      </c>
    </row>
    <row r="21" spans="1:26">
      <c r="A21">
        <v>8</v>
      </c>
      <c r="B21" s="6"/>
      <c r="C21" s="6">
        <f t="shared" si="5"/>
        <v>0</v>
      </c>
      <c r="D21">
        <f t="shared" si="7"/>
        <v>0</v>
      </c>
      <c r="E21">
        <f t="shared" si="8"/>
        <v>0</v>
      </c>
      <c r="F21" s="19">
        <f t="shared" si="17"/>
        <v>0</v>
      </c>
      <c r="G21">
        <f t="shared" si="18"/>
        <v>0</v>
      </c>
      <c r="H21" s="86">
        <f t="shared" si="18"/>
        <v>0</v>
      </c>
      <c r="I21" s="86">
        <f t="shared" si="18"/>
        <v>0</v>
      </c>
      <c r="J21">
        <f>'1040 W4 PLANNER 2026'!N19</f>
        <v>0</v>
      </c>
      <c r="K21">
        <f t="shared" si="9"/>
        <v>0</v>
      </c>
      <c r="L21" s="19">
        <f t="shared" si="10"/>
        <v>0</v>
      </c>
      <c r="M21" s="36">
        <f t="shared" si="11"/>
        <v>0</v>
      </c>
      <c r="N21" s="36">
        <f t="shared" si="12"/>
        <v>0</v>
      </c>
      <c r="O21" s="20">
        <f t="shared" si="13"/>
        <v>0</v>
      </c>
      <c r="P21" s="20">
        <f t="shared" si="14"/>
        <v>0</v>
      </c>
      <c r="Q21" s="20">
        <f t="shared" si="15"/>
        <v>0</v>
      </c>
      <c r="R21" s="20">
        <f t="shared" si="16"/>
        <v>0</v>
      </c>
      <c r="T21" t="s">
        <v>40</v>
      </c>
      <c r="U21" s="36"/>
      <c r="W21" s="20">
        <f t="shared" si="19"/>
        <v>0</v>
      </c>
    </row>
    <row r="22" spans="1:26">
      <c r="A22" s="34" t="s">
        <v>96</v>
      </c>
      <c r="B22" s="6"/>
      <c r="C22" s="6"/>
      <c r="W22" s="20">
        <f t="shared" si="19"/>
        <v>0</v>
      </c>
    </row>
    <row r="23" spans="1:26">
      <c r="A23">
        <v>1</v>
      </c>
      <c r="B23" s="6"/>
      <c r="C23" s="6">
        <f>C4</f>
        <v>0</v>
      </c>
      <c r="D23">
        <f>D4</f>
        <v>0</v>
      </c>
      <c r="E23">
        <f>E4</f>
        <v>0</v>
      </c>
      <c r="F23" s="19">
        <f>M4*D23</f>
        <v>0</v>
      </c>
      <c r="G23">
        <f t="shared" ref="G23:J30" si="20">G4</f>
        <v>0</v>
      </c>
      <c r="H23">
        <f t="shared" si="20"/>
        <v>0</v>
      </c>
      <c r="I23">
        <f t="shared" si="20"/>
        <v>0</v>
      </c>
      <c r="J23">
        <f t="shared" si="20"/>
        <v>0</v>
      </c>
      <c r="K23">
        <f>IF(C23="N",12900,0)</f>
        <v>0</v>
      </c>
      <c r="L23" s="19">
        <f>IF(F23+H23-I23-K23&lt;0,0,F23+H23-I23-K23)</f>
        <v>0</v>
      </c>
      <c r="M23" s="36">
        <f>IF(L23&lt;16100,0,IF(L23&lt;28500,(L23-16150)*0.1,IF(L23&lt;66500,(L23-28500)*0.12+1240,IF(L23&lt;121800,(L23-66500)*0.22+5800,IF(L23&lt;217875,(L23-121800)*0.24+17966,IF(L23&lt;272325,(L23-217875)*0.32+41024,IF(L23&lt;40450,(L23-272325)*0.35+58448,(L23-400450)*0.37+103292)))))))</f>
        <v>0</v>
      </c>
      <c r="N23" s="36">
        <f>IF(L23&lt;19300,0,IF(L23&lt;44100,(L23-19300)*0.1,IF(L23&lt;120100,(L23-44100)*0.12+2480,IF(L23&lt;230700,(L23-114600)*0.22+11600,IF(L23&lt;422850,(L23-230700)*0.24+35932,IF(L23&lt;531750,(L23-422850)*0.32+82048,IF(L23&lt;788000,(L23-531750)*0.35+116896,(L23-788000)*0.37+206584)))))))</f>
        <v>0</v>
      </c>
      <c r="O23" s="20">
        <f>IF(C23="Y",M23,N23)</f>
        <v>0</v>
      </c>
      <c r="P23" s="20">
        <f>IF(D23&lt;&gt;0,(((O23-G23)/D23)+J23),0)</f>
        <v>0</v>
      </c>
      <c r="Q23" s="20">
        <f>P23*E23</f>
        <v>0</v>
      </c>
      <c r="R23" s="20">
        <f>IF(D23=1,W23,IF(P23&lt;0,0,P23))</f>
        <v>0</v>
      </c>
      <c r="T23" t="s">
        <v>41</v>
      </c>
      <c r="U23" s="36"/>
      <c r="W23" s="20">
        <f t="shared" si="19"/>
        <v>0</v>
      </c>
      <c r="X23" t="s">
        <v>24</v>
      </c>
      <c r="Y23" t="s">
        <v>24</v>
      </c>
      <c r="Z23" t="s">
        <v>24</v>
      </c>
    </row>
    <row r="24" spans="1:26">
      <c r="A24">
        <v>2</v>
      </c>
      <c r="B24" s="6"/>
      <c r="C24" s="6" t="str">
        <f t="shared" ref="C24:C30" si="21">C5</f>
        <v>Y</v>
      </c>
      <c r="D24">
        <f t="shared" ref="D24:D30" si="22">D5</f>
        <v>0</v>
      </c>
      <c r="E24">
        <f t="shared" ref="E24:E30" si="23">E5</f>
        <v>0</v>
      </c>
      <c r="F24" s="19">
        <f>M5*D24</f>
        <v>0</v>
      </c>
      <c r="G24">
        <f t="shared" si="20"/>
        <v>0</v>
      </c>
      <c r="H24">
        <f t="shared" si="20"/>
        <v>0</v>
      </c>
      <c r="I24">
        <f t="shared" si="20"/>
        <v>0</v>
      </c>
      <c r="J24">
        <f t="shared" si="20"/>
        <v>0</v>
      </c>
      <c r="K24">
        <f t="shared" ref="K24:K30" si="24">IF(C24="N",12900,0)</f>
        <v>0</v>
      </c>
      <c r="L24" s="19">
        <f t="shared" ref="L24:L30" si="25">IF(F24+H24-I24-K24&lt;0,0,F24+H24-I24-K24)</f>
        <v>0</v>
      </c>
      <c r="M24" s="36">
        <f t="shared" ref="M24:M30" si="26">IF(L24&lt;16100,0,IF(L24&lt;28500,(L24-16150)*0.1,IF(L24&lt;66500,(L24-28500)*0.12+1240,IF(L24&lt;121800,(L24-66500)*0.22+5800,IF(L24&lt;217875,(L24-121800)*0.24+17966,IF(L24&lt;272325,(L24-217875)*0.32+41024,IF(L24&lt;40450,(L24-272325)*0.35+58448,(L24-400450)*0.37+103292)))))))</f>
        <v>0</v>
      </c>
      <c r="N24" s="36">
        <f t="shared" ref="N24:N30" si="27">IF(L24&lt;19300,0,IF(L24&lt;44100,(L24-19300)*0.1,IF(L24&lt;120100,(L24-44100)*0.12+2480,IF(L24&lt;230700,(L24-114600)*0.22+11600,IF(L24&lt;422850,(L24-230700)*0.24+35932,IF(L24&lt;531750,(L24-422850)*0.32+82048,IF(L24&lt;788000,(L24-531750)*0.35+116896,(L24-788000)*0.37+206584)))))))</f>
        <v>0</v>
      </c>
      <c r="O24" s="20">
        <f t="shared" ref="O24:O30" si="28">IF(C24="Y",M24,N24)</f>
        <v>0</v>
      </c>
      <c r="P24" s="20">
        <f t="shared" ref="P24:P30" si="29">IF(D24&lt;&gt;0,(((O24-G24)/D24)+J24),0)</f>
        <v>0</v>
      </c>
      <c r="Q24" s="20">
        <f t="shared" ref="Q24:Q30" si="30">P24*E24</f>
        <v>0</v>
      </c>
      <c r="R24" s="20">
        <f t="shared" ref="R24:R30" si="31">IF(D24=1,W24,IF(P24&lt;0,0,P24))</f>
        <v>0</v>
      </c>
      <c r="T24" t="s">
        <v>41</v>
      </c>
      <c r="U24" s="36"/>
      <c r="W24" s="20">
        <f t="shared" si="19"/>
        <v>0</v>
      </c>
      <c r="Y24" t="s">
        <v>24</v>
      </c>
      <c r="Z24" t="s">
        <v>24</v>
      </c>
    </row>
    <row r="25" spans="1:26">
      <c r="A25">
        <v>3</v>
      </c>
      <c r="B25" s="6"/>
      <c r="C25" s="6">
        <f t="shared" si="21"/>
        <v>0</v>
      </c>
      <c r="D25">
        <f t="shared" si="22"/>
        <v>0</v>
      </c>
      <c r="E25">
        <f t="shared" si="23"/>
        <v>0</v>
      </c>
      <c r="F25" s="19">
        <f t="shared" ref="F25:F30" si="32">M6*D25</f>
        <v>0</v>
      </c>
      <c r="G25">
        <f t="shared" si="20"/>
        <v>0</v>
      </c>
      <c r="H25">
        <f t="shared" si="20"/>
        <v>0</v>
      </c>
      <c r="I25">
        <f t="shared" si="20"/>
        <v>0</v>
      </c>
      <c r="J25">
        <f t="shared" si="20"/>
        <v>0</v>
      </c>
      <c r="K25">
        <f t="shared" si="24"/>
        <v>0</v>
      </c>
      <c r="L25" s="19">
        <f t="shared" si="25"/>
        <v>0</v>
      </c>
      <c r="M25" s="36">
        <f t="shared" si="26"/>
        <v>0</v>
      </c>
      <c r="N25" s="36">
        <f t="shared" si="27"/>
        <v>0</v>
      </c>
      <c r="O25" s="20">
        <f t="shared" si="28"/>
        <v>0</v>
      </c>
      <c r="P25" s="20">
        <f t="shared" si="29"/>
        <v>0</v>
      </c>
      <c r="Q25" s="20">
        <f t="shared" si="30"/>
        <v>0</v>
      </c>
      <c r="R25" s="20">
        <f t="shared" si="31"/>
        <v>0</v>
      </c>
      <c r="T25" t="s">
        <v>41</v>
      </c>
      <c r="U25" s="36"/>
      <c r="W25" s="20">
        <f t="shared" si="19"/>
        <v>0</v>
      </c>
    </row>
    <row r="26" spans="1:26">
      <c r="A26">
        <v>4</v>
      </c>
      <c r="B26" s="6"/>
      <c r="C26" s="6">
        <f t="shared" si="21"/>
        <v>0</v>
      </c>
      <c r="D26">
        <f t="shared" si="22"/>
        <v>0</v>
      </c>
      <c r="E26">
        <f t="shared" si="23"/>
        <v>0</v>
      </c>
      <c r="F26" s="19">
        <f t="shared" si="32"/>
        <v>0</v>
      </c>
      <c r="G26">
        <f t="shared" si="20"/>
        <v>0</v>
      </c>
      <c r="H26">
        <f t="shared" si="20"/>
        <v>0</v>
      </c>
      <c r="I26">
        <f t="shared" si="20"/>
        <v>0</v>
      </c>
      <c r="J26">
        <f t="shared" si="20"/>
        <v>0</v>
      </c>
      <c r="K26">
        <f t="shared" si="24"/>
        <v>0</v>
      </c>
      <c r="L26" s="19">
        <f t="shared" si="25"/>
        <v>0</v>
      </c>
      <c r="M26" s="36">
        <f t="shared" si="26"/>
        <v>0</v>
      </c>
      <c r="N26" s="36">
        <f t="shared" si="27"/>
        <v>0</v>
      </c>
      <c r="O26" s="20">
        <f t="shared" si="28"/>
        <v>0</v>
      </c>
      <c r="P26" s="20">
        <f t="shared" si="29"/>
        <v>0</v>
      </c>
      <c r="Q26" s="20">
        <f t="shared" si="30"/>
        <v>0</v>
      </c>
      <c r="R26" s="20">
        <f t="shared" si="31"/>
        <v>0</v>
      </c>
      <c r="T26" t="s">
        <v>41</v>
      </c>
      <c r="U26" s="36"/>
      <c r="W26" s="20">
        <f t="shared" si="19"/>
        <v>0</v>
      </c>
    </row>
    <row r="27" spans="1:26">
      <c r="A27">
        <v>5</v>
      </c>
      <c r="B27" s="6"/>
      <c r="C27" s="6">
        <f t="shared" si="21"/>
        <v>0</v>
      </c>
      <c r="D27">
        <f t="shared" si="22"/>
        <v>0</v>
      </c>
      <c r="E27">
        <f t="shared" si="23"/>
        <v>0</v>
      </c>
      <c r="F27" s="19">
        <f t="shared" si="32"/>
        <v>0</v>
      </c>
      <c r="G27">
        <f t="shared" si="20"/>
        <v>0</v>
      </c>
      <c r="H27">
        <f t="shared" si="20"/>
        <v>0</v>
      </c>
      <c r="I27">
        <f t="shared" si="20"/>
        <v>0</v>
      </c>
      <c r="J27">
        <f t="shared" si="20"/>
        <v>0</v>
      </c>
      <c r="K27">
        <f t="shared" si="24"/>
        <v>0</v>
      </c>
      <c r="L27" s="19">
        <f t="shared" si="25"/>
        <v>0</v>
      </c>
      <c r="M27" s="36">
        <f t="shared" si="26"/>
        <v>0</v>
      </c>
      <c r="N27" s="36">
        <f t="shared" si="27"/>
        <v>0</v>
      </c>
      <c r="O27" s="20">
        <f t="shared" si="28"/>
        <v>0</v>
      </c>
      <c r="P27" s="20">
        <f t="shared" si="29"/>
        <v>0</v>
      </c>
      <c r="Q27" s="20">
        <f t="shared" si="30"/>
        <v>0</v>
      </c>
      <c r="R27" s="20">
        <f t="shared" si="31"/>
        <v>0</v>
      </c>
      <c r="T27" t="s">
        <v>41</v>
      </c>
      <c r="U27" s="36"/>
      <c r="W27" s="20">
        <f t="shared" si="19"/>
        <v>0</v>
      </c>
    </row>
    <row r="28" spans="1:26">
      <c r="A28">
        <v>6</v>
      </c>
      <c r="B28" s="6"/>
      <c r="C28" s="6">
        <f t="shared" si="21"/>
        <v>0</v>
      </c>
      <c r="D28">
        <f t="shared" si="22"/>
        <v>0</v>
      </c>
      <c r="E28">
        <f t="shared" si="23"/>
        <v>0</v>
      </c>
      <c r="F28" s="19">
        <f t="shared" si="32"/>
        <v>0</v>
      </c>
      <c r="G28">
        <f t="shared" si="20"/>
        <v>0</v>
      </c>
      <c r="H28">
        <f t="shared" si="20"/>
        <v>0</v>
      </c>
      <c r="I28">
        <f t="shared" si="20"/>
        <v>0</v>
      </c>
      <c r="J28">
        <f t="shared" si="20"/>
        <v>0</v>
      </c>
      <c r="K28">
        <f t="shared" si="24"/>
        <v>0</v>
      </c>
      <c r="L28" s="19">
        <f t="shared" si="25"/>
        <v>0</v>
      </c>
      <c r="M28" s="36">
        <f t="shared" si="26"/>
        <v>0</v>
      </c>
      <c r="N28" s="36">
        <f t="shared" si="27"/>
        <v>0</v>
      </c>
      <c r="O28" s="20">
        <f t="shared" si="28"/>
        <v>0</v>
      </c>
      <c r="P28" s="20">
        <f t="shared" si="29"/>
        <v>0</v>
      </c>
      <c r="Q28" s="20">
        <f t="shared" si="30"/>
        <v>0</v>
      </c>
      <c r="R28" s="20">
        <f t="shared" si="31"/>
        <v>0</v>
      </c>
      <c r="T28" t="s">
        <v>41</v>
      </c>
      <c r="U28" s="36"/>
      <c r="W28" s="20">
        <f t="shared" si="19"/>
        <v>0</v>
      </c>
    </row>
    <row r="29" spans="1:26">
      <c r="A29">
        <v>7</v>
      </c>
      <c r="B29" s="6"/>
      <c r="C29" s="6">
        <f t="shared" si="21"/>
        <v>0</v>
      </c>
      <c r="D29">
        <f t="shared" si="22"/>
        <v>0</v>
      </c>
      <c r="E29">
        <f t="shared" si="23"/>
        <v>0</v>
      </c>
      <c r="F29" s="19">
        <f t="shared" si="32"/>
        <v>0</v>
      </c>
      <c r="G29">
        <f t="shared" si="20"/>
        <v>0</v>
      </c>
      <c r="H29">
        <f t="shared" si="20"/>
        <v>0</v>
      </c>
      <c r="I29">
        <f t="shared" si="20"/>
        <v>0</v>
      </c>
      <c r="J29">
        <f t="shared" si="20"/>
        <v>0</v>
      </c>
      <c r="K29">
        <f t="shared" si="24"/>
        <v>0</v>
      </c>
      <c r="L29" s="19">
        <f t="shared" si="25"/>
        <v>0</v>
      </c>
      <c r="M29" s="36">
        <f t="shared" si="26"/>
        <v>0</v>
      </c>
      <c r="N29" s="36">
        <f t="shared" si="27"/>
        <v>0</v>
      </c>
      <c r="O29" s="20">
        <f t="shared" si="28"/>
        <v>0</v>
      </c>
      <c r="P29" s="20">
        <f t="shared" si="29"/>
        <v>0</v>
      </c>
      <c r="Q29" s="20">
        <f t="shared" si="30"/>
        <v>0</v>
      </c>
      <c r="R29" s="20">
        <f t="shared" si="31"/>
        <v>0</v>
      </c>
      <c r="T29" t="s">
        <v>41</v>
      </c>
      <c r="U29" s="36"/>
      <c r="W29" s="20">
        <f t="shared" si="19"/>
        <v>0</v>
      </c>
    </row>
    <row r="30" spans="1:26">
      <c r="A30">
        <v>8</v>
      </c>
      <c r="B30" s="6"/>
      <c r="C30" s="6">
        <f t="shared" si="21"/>
        <v>0</v>
      </c>
      <c r="D30">
        <f t="shared" si="22"/>
        <v>0</v>
      </c>
      <c r="E30">
        <f t="shared" si="23"/>
        <v>0</v>
      </c>
      <c r="F30" s="19">
        <f t="shared" si="32"/>
        <v>0</v>
      </c>
      <c r="G30">
        <f t="shared" si="20"/>
        <v>0</v>
      </c>
      <c r="H30">
        <f t="shared" si="20"/>
        <v>0</v>
      </c>
      <c r="I30">
        <f t="shared" si="20"/>
        <v>0</v>
      </c>
      <c r="J30">
        <f t="shared" si="20"/>
        <v>0</v>
      </c>
      <c r="K30">
        <f t="shared" si="24"/>
        <v>0</v>
      </c>
      <c r="L30" s="19">
        <f t="shared" si="25"/>
        <v>0</v>
      </c>
      <c r="M30" s="36">
        <f t="shared" si="26"/>
        <v>0</v>
      </c>
      <c r="N30" s="36">
        <f t="shared" si="27"/>
        <v>0</v>
      </c>
      <c r="O30" s="20">
        <f t="shared" si="28"/>
        <v>0</v>
      </c>
      <c r="P30" s="20">
        <f t="shared" si="29"/>
        <v>0</v>
      </c>
      <c r="Q30" s="20">
        <f t="shared" si="30"/>
        <v>0</v>
      </c>
      <c r="R30" s="20">
        <f t="shared" si="31"/>
        <v>0</v>
      </c>
      <c r="T30" t="s">
        <v>41</v>
      </c>
      <c r="U30" s="36"/>
      <c r="W30" s="20">
        <f t="shared" si="19"/>
        <v>0</v>
      </c>
    </row>
    <row r="31" spans="1:26">
      <c r="A31" s="34" t="s">
        <v>98</v>
      </c>
      <c r="B31" s="6"/>
      <c r="C31" s="6"/>
      <c r="W31" s="20">
        <f t="shared" si="19"/>
        <v>0</v>
      </c>
    </row>
    <row r="32" spans="1:26">
      <c r="A32">
        <v>1</v>
      </c>
      <c r="B32" s="6"/>
      <c r="C32" s="6">
        <f t="shared" ref="C32:D39" si="33">C4</f>
        <v>0</v>
      </c>
      <c r="D32">
        <f t="shared" si="33"/>
        <v>0</v>
      </c>
      <c r="E32">
        <f t="shared" ref="E32:J32" si="34">E4</f>
        <v>0</v>
      </c>
      <c r="F32" s="19">
        <f>D32*M4</f>
        <v>0</v>
      </c>
      <c r="G32">
        <f t="shared" si="34"/>
        <v>0</v>
      </c>
      <c r="H32">
        <f t="shared" si="34"/>
        <v>0</v>
      </c>
      <c r="I32">
        <f t="shared" si="34"/>
        <v>0</v>
      </c>
      <c r="J32">
        <f t="shared" si="34"/>
        <v>0</v>
      </c>
      <c r="K32">
        <f>IF(C32="N",8600,0)</f>
        <v>0</v>
      </c>
      <c r="L32" s="19">
        <f>IF(F32+H32-I32-K32&lt;0,0,F32+H32-I32-K32)</f>
        <v>0</v>
      </c>
      <c r="M32" s="149">
        <f>IF(L32&lt;12075,0,IF(L32&lt;20925,(L32-12075)*0.1,IF(L32&lt;45800,(L32-19752)*0.12+886,IF(L32&lt;64925,(L32-45800)*0.22+3870,IF(L32&lt;112950,(L32-64925)*0.24+8077.5,IF(L32&lt;140175,(L32-112950)*0.32+19603.5,IF(L32&lt;332375,(L32-140175)*0.35+28315.5,(L32-332375)*0.37+95585.5)))))))</f>
        <v>0</v>
      </c>
      <c r="N32" s="36">
        <f>IF(L32&lt;15550,0,IF(L32&lt;33250,(L32-15550)*0.1,IF(L32&lt;83000,(L32-33250)*0.12+1770,IF(L32&lt;121250,(L32-83000)*0.22+7740,IF(L32&lt;217300,(L32-121250)*0.24+16165,IF(L32&lt;271750,(L32-217300)*0.32+39207,IF(L32&lt;656150,(L32-271750)*0.35+56531,(L32-656150)*0.37+191171)))))))</f>
        <v>0</v>
      </c>
      <c r="O32" s="20">
        <f>IF(C32="Y",M32,N32)</f>
        <v>0</v>
      </c>
      <c r="P32" s="20">
        <f>IF(D32&lt;&gt;0,(((O32-G32)/D32)+J32),0)</f>
        <v>0</v>
      </c>
      <c r="Q32" s="20">
        <f>P32*E32</f>
        <v>0</v>
      </c>
      <c r="R32" s="20">
        <f>IF(D32=1,W32,IF(P32&lt;0,0,P32))</f>
        <v>0</v>
      </c>
      <c r="T32" t="s">
        <v>279</v>
      </c>
      <c r="U32" s="36"/>
      <c r="W32" s="20">
        <f t="shared" si="19"/>
        <v>0</v>
      </c>
    </row>
    <row r="33" spans="1:23">
      <c r="A33">
        <v>2</v>
      </c>
      <c r="B33" s="6"/>
      <c r="C33" s="6" t="str">
        <f t="shared" si="33"/>
        <v>Y</v>
      </c>
      <c r="D33">
        <f t="shared" si="33"/>
        <v>0</v>
      </c>
      <c r="E33">
        <f t="shared" ref="E33:E39" si="35">E5</f>
        <v>0</v>
      </c>
      <c r="F33" s="19">
        <f>D33*M5</f>
        <v>0</v>
      </c>
      <c r="G33">
        <f t="shared" ref="G33:J39" si="36">G5</f>
        <v>0</v>
      </c>
      <c r="H33">
        <f t="shared" si="36"/>
        <v>0</v>
      </c>
      <c r="I33">
        <f t="shared" si="36"/>
        <v>0</v>
      </c>
      <c r="J33">
        <f t="shared" si="36"/>
        <v>0</v>
      </c>
      <c r="K33">
        <f t="shared" ref="K33:K39" si="37">IF(C33="N",8600,0)</f>
        <v>0</v>
      </c>
      <c r="L33" s="19">
        <f t="shared" ref="L33:L39" si="38">IF(F33+H33-I33-K33&lt;0,0,F33+H33-I33-K33)</f>
        <v>0</v>
      </c>
      <c r="M33" s="149">
        <f t="shared" ref="M33:M39" si="39">IF(L33&lt;12075,0,IF(L33&lt;20925,(L33-12075)*0.1,IF(L33&lt;45800,(L33-19752)*0.12+886,IF(L33&lt;64925,(L33-45800)*0.22+3870,IF(L33&lt;112950,(L33-64925)*0.24+8077.5,IF(L33&lt;140175,(L33-112950)*0.32+19603.5,IF(L33&lt;332375,(L33-140175)*0.35+28315.5,(L33-332375)*0.37+95585.5)))))))</f>
        <v>0</v>
      </c>
      <c r="N33" s="36">
        <f t="shared" ref="N33:N39" si="40">IF(L33&lt;15550,0,IF(L33&lt;33250,(L33-15550)*0.1,IF(L33&lt;83000,(L33-33250)*0.12+1770,IF(L33&lt;121250,(L33-83000)*0.22+7740,IF(L33&lt;217300,(L33-121250)*0.24+16165,IF(L33&lt;271750,(L33-217300)*0.32+39207,IF(L33&lt;656150,(L33-271750)*0.35+56531,(L33-656150)*0.37+191171)))))))</f>
        <v>0</v>
      </c>
      <c r="O33" s="20">
        <f t="shared" ref="O33:O39" si="41">IF(C33="Y",M33,N33)</f>
        <v>0</v>
      </c>
      <c r="P33" s="20">
        <f t="shared" ref="P33:P39" si="42">IF(D33&lt;&gt;0,(((O33-G33)/D33)+J33),0)</f>
        <v>0</v>
      </c>
      <c r="Q33" s="20">
        <f t="shared" ref="Q33:Q39" si="43">P33*E33</f>
        <v>0</v>
      </c>
      <c r="R33" s="20">
        <f t="shared" ref="R33:R39" si="44">IF(D33=1,W33,IF(P33&lt;0,0,P33))</f>
        <v>0</v>
      </c>
      <c r="T33" t="s">
        <v>279</v>
      </c>
      <c r="U33" s="36"/>
      <c r="W33" s="20">
        <f t="shared" si="19"/>
        <v>0</v>
      </c>
    </row>
    <row r="34" spans="1:23">
      <c r="A34">
        <v>3</v>
      </c>
      <c r="B34" s="6"/>
      <c r="C34" s="6">
        <f t="shared" si="33"/>
        <v>0</v>
      </c>
      <c r="D34">
        <f t="shared" si="33"/>
        <v>0</v>
      </c>
      <c r="E34">
        <f t="shared" si="35"/>
        <v>0</v>
      </c>
      <c r="F34" s="19">
        <f t="shared" ref="F34:F39" si="45">D34*M6</f>
        <v>0</v>
      </c>
      <c r="G34">
        <f t="shared" si="36"/>
        <v>0</v>
      </c>
      <c r="H34">
        <f t="shared" si="36"/>
        <v>0</v>
      </c>
      <c r="I34">
        <f t="shared" si="36"/>
        <v>0</v>
      </c>
      <c r="J34">
        <f t="shared" si="36"/>
        <v>0</v>
      </c>
      <c r="K34">
        <f t="shared" si="37"/>
        <v>0</v>
      </c>
      <c r="L34" s="19">
        <f t="shared" si="38"/>
        <v>0</v>
      </c>
      <c r="M34" s="149">
        <f t="shared" si="39"/>
        <v>0</v>
      </c>
      <c r="N34" s="36">
        <f t="shared" si="40"/>
        <v>0</v>
      </c>
      <c r="O34" s="20">
        <f t="shared" si="41"/>
        <v>0</v>
      </c>
      <c r="P34" s="20">
        <f t="shared" si="42"/>
        <v>0</v>
      </c>
      <c r="Q34" s="20">
        <f t="shared" si="43"/>
        <v>0</v>
      </c>
      <c r="R34" s="20">
        <f t="shared" si="44"/>
        <v>0</v>
      </c>
      <c r="T34" t="s">
        <v>279</v>
      </c>
      <c r="U34" s="36"/>
      <c r="W34" s="20">
        <f t="shared" si="19"/>
        <v>0</v>
      </c>
    </row>
    <row r="35" spans="1:23">
      <c r="A35">
        <v>4</v>
      </c>
      <c r="B35" s="6"/>
      <c r="C35" s="6">
        <f t="shared" si="33"/>
        <v>0</v>
      </c>
      <c r="D35">
        <f t="shared" si="33"/>
        <v>0</v>
      </c>
      <c r="E35">
        <f t="shared" si="35"/>
        <v>0</v>
      </c>
      <c r="F35" s="19">
        <f t="shared" si="45"/>
        <v>0</v>
      </c>
      <c r="G35">
        <f t="shared" si="36"/>
        <v>0</v>
      </c>
      <c r="H35">
        <f t="shared" si="36"/>
        <v>0</v>
      </c>
      <c r="I35">
        <f t="shared" si="36"/>
        <v>0</v>
      </c>
      <c r="J35">
        <f t="shared" si="36"/>
        <v>0</v>
      </c>
      <c r="K35">
        <f t="shared" si="37"/>
        <v>0</v>
      </c>
      <c r="L35" s="19">
        <f t="shared" si="38"/>
        <v>0</v>
      </c>
      <c r="M35" s="149">
        <f t="shared" si="39"/>
        <v>0</v>
      </c>
      <c r="N35" s="36">
        <f t="shared" si="40"/>
        <v>0</v>
      </c>
      <c r="O35" s="20">
        <f t="shared" si="41"/>
        <v>0</v>
      </c>
      <c r="P35" s="20">
        <f t="shared" si="42"/>
        <v>0</v>
      </c>
      <c r="Q35" s="20">
        <f t="shared" si="43"/>
        <v>0</v>
      </c>
      <c r="R35" s="20">
        <f t="shared" si="44"/>
        <v>0</v>
      </c>
      <c r="T35" t="s">
        <v>279</v>
      </c>
      <c r="U35" s="36"/>
      <c r="W35" s="20">
        <f t="shared" si="19"/>
        <v>0</v>
      </c>
    </row>
    <row r="36" spans="1:23">
      <c r="A36">
        <v>5</v>
      </c>
      <c r="B36" s="6"/>
      <c r="C36" s="6">
        <f t="shared" si="33"/>
        <v>0</v>
      </c>
      <c r="D36">
        <f t="shared" si="33"/>
        <v>0</v>
      </c>
      <c r="E36">
        <f t="shared" si="35"/>
        <v>0</v>
      </c>
      <c r="F36" s="19">
        <f t="shared" si="45"/>
        <v>0</v>
      </c>
      <c r="G36">
        <f t="shared" si="36"/>
        <v>0</v>
      </c>
      <c r="H36">
        <f t="shared" si="36"/>
        <v>0</v>
      </c>
      <c r="I36">
        <f t="shared" si="36"/>
        <v>0</v>
      </c>
      <c r="J36">
        <f t="shared" si="36"/>
        <v>0</v>
      </c>
      <c r="K36">
        <f t="shared" si="37"/>
        <v>0</v>
      </c>
      <c r="L36" s="19">
        <f t="shared" si="38"/>
        <v>0</v>
      </c>
      <c r="M36" s="149">
        <f t="shared" si="39"/>
        <v>0</v>
      </c>
      <c r="N36" s="36">
        <f t="shared" si="40"/>
        <v>0</v>
      </c>
      <c r="O36" s="20">
        <f t="shared" si="41"/>
        <v>0</v>
      </c>
      <c r="P36" s="20">
        <f t="shared" si="42"/>
        <v>0</v>
      </c>
      <c r="Q36" s="20">
        <f t="shared" si="43"/>
        <v>0</v>
      </c>
      <c r="R36" s="20">
        <f t="shared" si="44"/>
        <v>0</v>
      </c>
      <c r="T36" t="s">
        <v>279</v>
      </c>
      <c r="U36" s="36"/>
      <c r="W36" s="20">
        <f t="shared" si="19"/>
        <v>0</v>
      </c>
    </row>
    <row r="37" spans="1:23">
      <c r="A37">
        <v>6</v>
      </c>
      <c r="B37" s="6"/>
      <c r="C37" s="6">
        <f t="shared" si="33"/>
        <v>0</v>
      </c>
      <c r="D37">
        <f t="shared" si="33"/>
        <v>0</v>
      </c>
      <c r="E37">
        <f t="shared" si="35"/>
        <v>0</v>
      </c>
      <c r="F37" s="19">
        <f t="shared" si="45"/>
        <v>0</v>
      </c>
      <c r="G37">
        <f t="shared" si="36"/>
        <v>0</v>
      </c>
      <c r="H37">
        <f t="shared" si="36"/>
        <v>0</v>
      </c>
      <c r="I37">
        <f t="shared" si="36"/>
        <v>0</v>
      </c>
      <c r="J37">
        <f t="shared" si="36"/>
        <v>0</v>
      </c>
      <c r="K37">
        <f t="shared" si="37"/>
        <v>0</v>
      </c>
      <c r="L37" s="19">
        <f t="shared" si="38"/>
        <v>0</v>
      </c>
      <c r="M37" s="149">
        <f t="shared" si="39"/>
        <v>0</v>
      </c>
      <c r="N37" s="36">
        <f t="shared" si="40"/>
        <v>0</v>
      </c>
      <c r="O37" s="20">
        <f t="shared" si="41"/>
        <v>0</v>
      </c>
      <c r="P37" s="20">
        <f t="shared" si="42"/>
        <v>0</v>
      </c>
      <c r="Q37" s="20">
        <f t="shared" si="43"/>
        <v>0</v>
      </c>
      <c r="R37" s="20">
        <f t="shared" si="44"/>
        <v>0</v>
      </c>
      <c r="T37" t="s">
        <v>279</v>
      </c>
      <c r="U37" s="36"/>
      <c r="W37" s="20">
        <f t="shared" si="19"/>
        <v>0</v>
      </c>
    </row>
    <row r="38" spans="1:23">
      <c r="A38">
        <v>7</v>
      </c>
      <c r="B38" s="6"/>
      <c r="C38" s="6">
        <f t="shared" si="33"/>
        <v>0</v>
      </c>
      <c r="D38">
        <f t="shared" si="33"/>
        <v>0</v>
      </c>
      <c r="E38">
        <f t="shared" si="35"/>
        <v>0</v>
      </c>
      <c r="F38" s="19">
        <f t="shared" si="45"/>
        <v>0</v>
      </c>
      <c r="G38">
        <f t="shared" si="36"/>
        <v>0</v>
      </c>
      <c r="H38">
        <f t="shared" si="36"/>
        <v>0</v>
      </c>
      <c r="I38">
        <f t="shared" si="36"/>
        <v>0</v>
      </c>
      <c r="J38">
        <f t="shared" si="36"/>
        <v>0</v>
      </c>
      <c r="K38">
        <f t="shared" si="37"/>
        <v>0</v>
      </c>
      <c r="L38" s="19">
        <f t="shared" si="38"/>
        <v>0</v>
      </c>
      <c r="M38" s="149">
        <f t="shared" si="39"/>
        <v>0</v>
      </c>
      <c r="N38" s="36">
        <f t="shared" si="40"/>
        <v>0</v>
      </c>
      <c r="O38" s="20">
        <f t="shared" si="41"/>
        <v>0</v>
      </c>
      <c r="P38" s="20">
        <f t="shared" si="42"/>
        <v>0</v>
      </c>
      <c r="Q38" s="20">
        <f t="shared" si="43"/>
        <v>0</v>
      </c>
      <c r="R38" s="20">
        <f t="shared" si="44"/>
        <v>0</v>
      </c>
      <c r="T38" t="s">
        <v>279</v>
      </c>
      <c r="U38" s="36"/>
      <c r="W38" s="20">
        <f t="shared" si="19"/>
        <v>0</v>
      </c>
    </row>
    <row r="39" spans="1:23">
      <c r="A39">
        <v>8</v>
      </c>
      <c r="B39" s="6"/>
      <c r="C39" s="6">
        <f t="shared" si="33"/>
        <v>0</v>
      </c>
      <c r="D39">
        <f t="shared" si="33"/>
        <v>0</v>
      </c>
      <c r="E39">
        <f t="shared" si="35"/>
        <v>0</v>
      </c>
      <c r="F39" s="19">
        <f t="shared" si="45"/>
        <v>0</v>
      </c>
      <c r="G39">
        <f t="shared" si="36"/>
        <v>0</v>
      </c>
      <c r="H39">
        <f t="shared" si="36"/>
        <v>0</v>
      </c>
      <c r="I39">
        <f t="shared" si="36"/>
        <v>0</v>
      </c>
      <c r="J39">
        <f t="shared" si="36"/>
        <v>0</v>
      </c>
      <c r="K39">
        <f t="shared" si="37"/>
        <v>0</v>
      </c>
      <c r="L39" s="19">
        <f t="shared" si="38"/>
        <v>0</v>
      </c>
      <c r="M39" s="149">
        <f t="shared" si="39"/>
        <v>0</v>
      </c>
      <c r="N39" s="36">
        <f t="shared" si="40"/>
        <v>0</v>
      </c>
      <c r="O39" s="20">
        <f t="shared" si="41"/>
        <v>0</v>
      </c>
      <c r="P39" s="20">
        <f t="shared" si="42"/>
        <v>0</v>
      </c>
      <c r="Q39" s="20">
        <f t="shared" si="43"/>
        <v>0</v>
      </c>
      <c r="R39" s="20">
        <f t="shared" si="44"/>
        <v>0</v>
      </c>
      <c r="T39" t="s">
        <v>279</v>
      </c>
      <c r="U39" s="36"/>
      <c r="W39" s="20">
        <f t="shared" si="19"/>
        <v>0</v>
      </c>
    </row>
    <row r="40" spans="1:23">
      <c r="B40" s="6"/>
      <c r="C40" s="6"/>
    </row>
    <row r="41" spans="1:23">
      <c r="B41" s="6"/>
      <c r="C41" s="6"/>
    </row>
    <row r="42" spans="1:23">
      <c r="A42" t="s">
        <v>45</v>
      </c>
      <c r="B42" s="6"/>
      <c r="C42" s="6"/>
    </row>
    <row r="43" spans="1:23" ht="45">
      <c r="B43" s="9" t="s">
        <v>7</v>
      </c>
      <c r="C43" s="9" t="s">
        <v>284</v>
      </c>
      <c r="D43" s="9" t="s">
        <v>9</v>
      </c>
      <c r="E43" s="9" t="s">
        <v>10</v>
      </c>
      <c r="F43" s="10" t="s">
        <v>288</v>
      </c>
      <c r="G43" s="10" t="s">
        <v>280</v>
      </c>
      <c r="H43" s="10" t="s">
        <v>282</v>
      </c>
      <c r="I43" s="10" t="s">
        <v>289</v>
      </c>
      <c r="J43" s="10" t="s">
        <v>12</v>
      </c>
      <c r="K43" s="10" t="s">
        <v>284</v>
      </c>
      <c r="L43" s="10" t="s">
        <v>292</v>
      </c>
      <c r="M43" s="10" t="s">
        <v>11</v>
      </c>
      <c r="N43" s="10"/>
      <c r="O43" s="10" t="s">
        <v>37</v>
      </c>
      <c r="P43" s="10" t="s">
        <v>15</v>
      </c>
      <c r="Q43" s="10" t="s">
        <v>14</v>
      </c>
      <c r="R43" s="10" t="s">
        <v>39</v>
      </c>
      <c r="S43" s="7" t="s">
        <v>13</v>
      </c>
      <c r="T43" s="24" t="s">
        <v>43</v>
      </c>
      <c r="U43" s="24" t="s">
        <v>42</v>
      </c>
    </row>
    <row r="44" spans="1:23">
      <c r="A44">
        <v>1</v>
      </c>
      <c r="B44" s="2">
        <f>'1040 W4 PLANNER 2026'!A33</f>
        <v>0</v>
      </c>
      <c r="C44" s="2">
        <f>'1040 W4 PLANNER 2026'!B33</f>
        <v>0</v>
      </c>
      <c r="D44" s="2">
        <f>'1040 W4 PLANNER 2026'!H33</f>
        <v>0</v>
      </c>
      <c r="E44" s="2">
        <f>'1040 W4 PLANNER 2026'!I33</f>
        <v>0</v>
      </c>
      <c r="F44" s="2">
        <f>'1040 W4 PLANNER 2026'!J33</f>
        <v>0</v>
      </c>
      <c r="G44" s="2">
        <f>'1040 W4 PLANNER 2026'!K33</f>
        <v>0</v>
      </c>
      <c r="H44" s="2">
        <f>'1040 W4 PLANNER 2026'!L33</f>
        <v>0</v>
      </c>
      <c r="I44" s="2">
        <f>'1040 W4 PLANNER 2026'!M33</f>
        <v>0</v>
      </c>
      <c r="J44" s="2">
        <f>'1040 W4 PLANNER 2026'!N33</f>
        <v>0</v>
      </c>
      <c r="K44" s="2"/>
      <c r="L44" s="2"/>
      <c r="M44" s="25">
        <f>'1040 W4 PLANNER 2026'!O33</f>
        <v>0</v>
      </c>
      <c r="N44" s="88"/>
      <c r="O44" s="13">
        <f>M44*E44</f>
        <v>0</v>
      </c>
      <c r="P44" s="13" t="s">
        <v>44</v>
      </c>
      <c r="Q44" s="14">
        <f>IF(F44="M",R58,IF(F44="S",R52,IF(F44="H",R64,IF(F44=0,0))))</f>
        <v>0</v>
      </c>
      <c r="R44" s="14">
        <f>Q44*E44</f>
        <v>0</v>
      </c>
      <c r="S44" s="2">
        <f>'1040 W4 PLANNER 2026'!U45</f>
        <v>0</v>
      </c>
      <c r="T44" s="23">
        <f>IF(B44="T", O44,0)</f>
        <v>0</v>
      </c>
      <c r="U44">
        <f>IF(B44="S", O44,0)</f>
        <v>0</v>
      </c>
    </row>
    <row r="45" spans="1:23">
      <c r="A45">
        <v>2</v>
      </c>
      <c r="B45" s="2">
        <f>'1040 W4 PLANNER 2026'!A34</f>
        <v>0</v>
      </c>
      <c r="C45" s="2">
        <f>'1040 W4 PLANNER 2026'!B34</f>
        <v>0</v>
      </c>
      <c r="D45" s="2">
        <f>'1040 W4 PLANNER 2026'!H34</f>
        <v>0</v>
      </c>
      <c r="E45" s="2">
        <f>'1040 W4 PLANNER 2026'!I34</f>
        <v>0</v>
      </c>
      <c r="F45" s="2">
        <f>'1040 W4 PLANNER 2026'!J34</f>
        <v>0</v>
      </c>
      <c r="G45" s="2">
        <f>'1040 W4 PLANNER 2026'!K34</f>
        <v>0</v>
      </c>
      <c r="H45" s="2"/>
      <c r="I45" s="2"/>
      <c r="J45" s="2">
        <f>'1040 W4 PLANNER 2026'!N34</f>
        <v>0</v>
      </c>
      <c r="K45" s="2"/>
      <c r="L45" s="2"/>
      <c r="M45" s="25">
        <f>'1040 W4 PLANNER 2026'!O34</f>
        <v>0</v>
      </c>
      <c r="N45" s="88"/>
      <c r="O45" s="13">
        <f>M45*E45</f>
        <v>0</v>
      </c>
      <c r="P45" s="13" t="s">
        <v>44</v>
      </c>
      <c r="Q45" s="14">
        <f>IF(F45="M",R59,IF(F45="S",R53,IF(F45="H",R65,IF(F45=0,0))))</f>
        <v>0</v>
      </c>
      <c r="R45" s="25">
        <f>IF(D45&lt;&gt;0,((Q45)*E45),0)</f>
        <v>0</v>
      </c>
      <c r="S45" s="2"/>
      <c r="T45" s="23">
        <f>IF(B45="T", O45,0)</f>
        <v>0</v>
      </c>
      <c r="U45">
        <f>IF(B45="S", O45,0)</f>
        <v>0</v>
      </c>
    </row>
    <row r="46" spans="1:23">
      <c r="A46">
        <v>3</v>
      </c>
      <c r="B46" s="2">
        <f>'1040 W4 PLANNER 2026'!A35</f>
        <v>0</v>
      </c>
      <c r="C46" s="2">
        <f>'1040 W4 PLANNER 2026'!B35</f>
        <v>0</v>
      </c>
      <c r="D46" s="2">
        <f>'1040 W4 PLANNER 2026'!H35</f>
        <v>0</v>
      </c>
      <c r="E46" s="2">
        <f>'1040 W4 PLANNER 2026'!I35</f>
        <v>0</v>
      </c>
      <c r="F46" s="2">
        <f>'1040 W4 PLANNER 2026'!J35</f>
        <v>0</v>
      </c>
      <c r="G46" s="2">
        <f>'1040 W4 PLANNER 2026'!K35</f>
        <v>0</v>
      </c>
      <c r="H46" s="2"/>
      <c r="I46" s="2"/>
      <c r="J46" s="2">
        <f>'1040 W4 PLANNER 2026'!N35</f>
        <v>0</v>
      </c>
      <c r="K46" s="2"/>
      <c r="L46" s="2"/>
      <c r="M46" s="25">
        <f>'1040 W4 PLANNER 2026'!O35</f>
        <v>0</v>
      </c>
      <c r="N46" s="88"/>
      <c r="O46" s="13">
        <f>M46*E46</f>
        <v>0</v>
      </c>
      <c r="P46" s="13" t="s">
        <v>44</v>
      </c>
      <c r="Q46" s="14">
        <f>IF(F46="M",R60,IF(F46="S",R54,IF(F46="H",R66,IF(F46=0,0))))</f>
        <v>0</v>
      </c>
      <c r="R46" s="25">
        <f>IF(D46&lt;&gt;0,((Q46)*E46),0)</f>
        <v>0</v>
      </c>
      <c r="S46" s="2"/>
      <c r="T46" s="23">
        <f>IF(B46="T", O46,0)</f>
        <v>0</v>
      </c>
      <c r="U46">
        <f>IF(B46="S", O46,0)</f>
        <v>0</v>
      </c>
    </row>
    <row r="47" spans="1:23">
      <c r="A47">
        <v>4</v>
      </c>
      <c r="B47" s="2">
        <f>'1040 W4 PLANNER 2026'!A36</f>
        <v>0</v>
      </c>
      <c r="C47" s="2">
        <f>'1040 W4 PLANNER 2026'!B36</f>
        <v>0</v>
      </c>
      <c r="D47" s="2">
        <f>'1040 W4 PLANNER 2026'!H36</f>
        <v>0</v>
      </c>
      <c r="E47" s="2">
        <f>'1040 W4 PLANNER 2026'!I36</f>
        <v>0</v>
      </c>
      <c r="F47" s="2">
        <f>'1040 W4 PLANNER 2026'!J36</f>
        <v>0</v>
      </c>
      <c r="G47" s="2">
        <f>'1040 W4 PLANNER 2026'!K36</f>
        <v>0</v>
      </c>
      <c r="H47" s="2"/>
      <c r="I47" s="2"/>
      <c r="J47" s="2">
        <f>'1040 W4 PLANNER 2026'!N36</f>
        <v>0</v>
      </c>
      <c r="K47" s="2"/>
      <c r="L47" s="2"/>
      <c r="M47" s="25">
        <f>'1040 W4 PLANNER 2026'!O36</f>
        <v>0</v>
      </c>
      <c r="N47" s="88"/>
      <c r="O47" s="13">
        <f>M47*E47</f>
        <v>0</v>
      </c>
      <c r="P47" s="13" t="s">
        <v>44</v>
      </c>
      <c r="Q47" s="14">
        <f>IF(F47="M",R61,IF(F47="S",R55,IF(F47="H",R67,IF(F47=0,0))))</f>
        <v>0</v>
      </c>
      <c r="R47" s="25">
        <f>IF(D47&lt;&gt;0,((Q47)*E47),0)</f>
        <v>0</v>
      </c>
      <c r="S47" s="2"/>
      <c r="T47" s="23">
        <f>IF(B47="T", O47,0)</f>
        <v>0</v>
      </c>
      <c r="U47">
        <f>IF(B47="S", O47,0)</f>
        <v>0</v>
      </c>
    </row>
    <row r="48" spans="1:23">
      <c r="A48">
        <v>5</v>
      </c>
      <c r="B48" s="2">
        <f>'1040 W4 PLANNER 2026'!A37</f>
        <v>0</v>
      </c>
      <c r="C48" s="2">
        <f>'1040 W4 PLANNER 2026'!B37</f>
        <v>0</v>
      </c>
      <c r="D48" s="2">
        <f>'1040 W4 PLANNER 2026'!H37</f>
        <v>0</v>
      </c>
      <c r="E48" s="2">
        <f>'1040 W4 PLANNER 2026'!I37</f>
        <v>0</v>
      </c>
      <c r="F48" s="2">
        <f>'1040 W4 PLANNER 2026'!J37</f>
        <v>0</v>
      </c>
      <c r="G48" s="2">
        <f>'1040 W4 PLANNER 2026'!K37</f>
        <v>0</v>
      </c>
      <c r="H48" s="2"/>
      <c r="I48" s="2"/>
      <c r="J48" s="2">
        <f>'1040 W4 PLANNER 2026'!N37</f>
        <v>0</v>
      </c>
      <c r="K48" s="2"/>
      <c r="L48" s="2"/>
      <c r="M48" s="25">
        <f>'1040 W4 PLANNER 2026'!O37</f>
        <v>0</v>
      </c>
      <c r="N48" s="88"/>
      <c r="O48" s="13">
        <f>M48*E48</f>
        <v>0</v>
      </c>
      <c r="P48" s="13" t="s">
        <v>44</v>
      </c>
      <c r="Q48" s="14">
        <f>IF(F48="M",R62,IF(F48="S",R56,IF(F48="H",R68,IF(F48=0,0))))</f>
        <v>0</v>
      </c>
      <c r="R48" s="25">
        <f>IF(D48&lt;&gt;0,((Q48)*E48),0)</f>
        <v>0</v>
      </c>
      <c r="S48" s="2"/>
      <c r="T48" s="23">
        <f>IF(B48="T", O48,0)</f>
        <v>0</v>
      </c>
      <c r="U48">
        <f>IF(B48="S", O48,0)</f>
        <v>0</v>
      </c>
    </row>
    <row r="49" spans="1:22">
      <c r="R49" s="19">
        <f>SUM(R44:R48)</f>
        <v>0</v>
      </c>
      <c r="T49" s="19">
        <f>SUM(T44:T48)</f>
        <v>0</v>
      </c>
      <c r="U49" s="19">
        <f>SUM(U44:U48)</f>
        <v>0</v>
      </c>
    </row>
    <row r="51" spans="1:22" ht="45">
      <c r="A51" s="34" t="s">
        <v>92</v>
      </c>
      <c r="D51" t="s">
        <v>47</v>
      </c>
      <c r="E51" s="26" t="s">
        <v>48</v>
      </c>
      <c r="F51" s="26" t="s">
        <v>290</v>
      </c>
      <c r="G51" s="34" t="s">
        <v>291</v>
      </c>
      <c r="H51" s="89" t="s">
        <v>293</v>
      </c>
      <c r="I51" s="89" t="s">
        <v>294</v>
      </c>
      <c r="J51" t="s">
        <v>12</v>
      </c>
      <c r="K51" s="90" t="s">
        <v>295</v>
      </c>
      <c r="L51" t="s">
        <v>296</v>
      </c>
      <c r="M51" s="26" t="s">
        <v>297</v>
      </c>
      <c r="N51" s="26" t="s">
        <v>298</v>
      </c>
      <c r="O51" s="26" t="s">
        <v>299</v>
      </c>
      <c r="P51" s="132" t="s">
        <v>300</v>
      </c>
      <c r="Q51" s="26" t="s">
        <v>301</v>
      </c>
      <c r="R51" s="132" t="s">
        <v>387</v>
      </c>
    </row>
    <row r="52" spans="1:22">
      <c r="A52">
        <v>1</v>
      </c>
      <c r="B52" s="6">
        <f>B44</f>
        <v>0</v>
      </c>
      <c r="C52" s="6">
        <f>C44</f>
        <v>0</v>
      </c>
      <c r="D52">
        <f>D44</f>
        <v>0</v>
      </c>
      <c r="E52">
        <f>E44</f>
        <v>0</v>
      </c>
      <c r="F52" s="19">
        <f>D44*M44</f>
        <v>0</v>
      </c>
      <c r="G52">
        <f>G44</f>
        <v>0</v>
      </c>
      <c r="H52">
        <f>H44</f>
        <v>0</v>
      </c>
      <c r="I52">
        <f>I44</f>
        <v>0</v>
      </c>
      <c r="J52">
        <f>'1040 W4 PLANNER 2026'!N33</f>
        <v>0</v>
      </c>
      <c r="K52">
        <f>IF(C52="N",8600,0)</f>
        <v>0</v>
      </c>
      <c r="L52" s="19">
        <f t="shared" ref="L52:L62" si="46">F52+H52-I52-K52</f>
        <v>0</v>
      </c>
      <c r="M52" s="36">
        <f>IF(L52&lt;8050,0,IF(L52&lt;14250,(L52-7500)*0.1,IF(L52&lt;33250,(L52-14250)*0.12+820,IF(L52&lt;6090,(L52-33250)*0.22+2900,IF(L52&lt;108938,(L52-60900)*0.24+8983,IF(L52&lt;136163,(L52-108938)*0.32+20812,IF(L52&lt;328350,(L52-136163)*0.35+29224,(L52-328350)*0.37+96490)))))))</f>
        <v>0</v>
      </c>
      <c r="N52" s="36">
        <f>IF(L52&lt;7500,0,IF(L52&lt;19900,(L52-7500)*0.1,IF(L52&lt;57900,(L52-19900)*0.12+1240,IF(L52&lt;113200,(L52-57900)*0.22+5800,IF(L52&lt;209275,(L52-113200)*0.24+17966,IF(L52&lt;263725,(L52-209275)*0.32+41024,IF(L52&lt;648100,(L52-263725)*0.35+58448,(L52-648100)*0.37+192279)))))))</f>
        <v>0</v>
      </c>
      <c r="O52" s="20">
        <f>IF(C52="Y",M52,N52)</f>
        <v>0</v>
      </c>
      <c r="P52" s="20">
        <f>IF(D52&lt;&gt;0,(((O52-G52)/D52)+J52),0)</f>
        <v>0</v>
      </c>
      <c r="Q52" s="20">
        <f>P52*E52</f>
        <v>0</v>
      </c>
      <c r="R52" s="20">
        <f>IF(P52&lt;0,0,P52)</f>
        <v>0</v>
      </c>
      <c r="T52" t="s">
        <v>40</v>
      </c>
      <c r="U52" s="36">
        <f>IF(O52&lt;3800,0,IF(O52&lt;13500,(O52-3800)*0.1,IF(O52&lt;43275,(O52-13500)*0.12+970,IF(O52&lt;88000,(O52-43275)*0.22+4543,IF(O52&lt;164525,(O52-88000)*0.24+14382.5,IF(O52&lt;207900,(O52-164525)*0.32+32748.5,IF(O52&lt;514100,(O52-207900)*0.35+46628.5,(O52-514100)*0.37+153798.5)))))))</f>
        <v>0</v>
      </c>
      <c r="V52">
        <f>IF(O52&gt;420700,O52*0.396+121505.25,0)</f>
        <v>0</v>
      </c>
    </row>
    <row r="53" spans="1:22">
      <c r="A53">
        <v>2</v>
      </c>
      <c r="B53" s="6">
        <f t="shared" ref="B53:I53" si="47">B45</f>
        <v>0</v>
      </c>
      <c r="C53" s="6">
        <f t="shared" si="47"/>
        <v>0</v>
      </c>
      <c r="D53">
        <f t="shared" si="47"/>
        <v>0</v>
      </c>
      <c r="E53">
        <f t="shared" si="47"/>
        <v>0</v>
      </c>
      <c r="F53" s="19">
        <f>D45*M45</f>
        <v>0</v>
      </c>
      <c r="G53">
        <f t="shared" si="47"/>
        <v>0</v>
      </c>
      <c r="H53">
        <f t="shared" si="47"/>
        <v>0</v>
      </c>
      <c r="I53">
        <f t="shared" si="47"/>
        <v>0</v>
      </c>
      <c r="J53">
        <f>'1040 W4 PLANNER 2026'!N34</f>
        <v>0</v>
      </c>
      <c r="K53">
        <f>IF(C53="N",8600,0)</f>
        <v>0</v>
      </c>
      <c r="L53" s="19">
        <f>F53+H53-I53-K53</f>
        <v>0</v>
      </c>
      <c r="M53" s="36">
        <f t="shared" ref="M53:M56" si="48">IF(L53&lt;8050,0,IF(L53&lt;14250,(L53-7500)*0.1,IF(L53&lt;33250,(L53-14250)*0.12+820,IF(L53&lt;6090,(L53-33250)*0.22+2900,IF(L53&lt;108938,(L53-60900)*0.24+8983,IF(L53&lt;136163,(L53-108938)*0.32+20812,IF(L53&lt;328350,(L53-136163)*0.35+29224,(L53-328350)*0.37+96490)))))))</f>
        <v>0</v>
      </c>
      <c r="N53" s="36">
        <f t="shared" ref="N53:N56" si="49">IF(L53&lt;7500,0,IF(L53&lt;19900,(L53-7500)*0.1,IF(L53&lt;57900,(L53-19900)*0.12+1240,IF(L53&lt;113200,(L53-57900)*0.22+5800,IF(L53&lt;209275,(L53-113200)*0.24+17966,IF(L53&lt;263725,(L53-209275)*0.32+41024,IF(L53&lt;648100,(L53-263725)*0.35+58448,(L53-648100)*0.37+192279)))))))</f>
        <v>0</v>
      </c>
      <c r="O53" s="20">
        <f>IF(C53="Y",M53,N53)</f>
        <v>0</v>
      </c>
      <c r="P53" s="20">
        <f>IF(D53&lt;&gt;0,(((O53-G53)/D53)+J53),0)</f>
        <v>0</v>
      </c>
      <c r="Q53" s="20">
        <f>P53*E53</f>
        <v>0</v>
      </c>
      <c r="R53" s="20">
        <f>IF(P53&lt;0,0,P53)</f>
        <v>0</v>
      </c>
      <c r="T53" t="s">
        <v>40</v>
      </c>
      <c r="U53" s="36">
        <f>IF(O53&lt;3800,0,IF(O53&lt;13500,(O53-3800)*0.1,IF(O53&lt;43275,(O53-13500)*0.12+970,IF(O53&lt;88000,(O53-43275)*0.22+4543,IF(O53&lt;164525,(O53-88000)*0.24+14382.5,IF(O53&lt;207900,(O53-164525)*0.32+32748.5,IF(O53&lt;514100,(O53-207900)*0.35+46628.5,(O53-514100)*0.37+153798.5)))))))</f>
        <v>0</v>
      </c>
      <c r="V53">
        <f>IF(O53&gt;420700,O53*0.396+121505.25,0)</f>
        <v>0</v>
      </c>
    </row>
    <row r="54" spans="1:22">
      <c r="A54">
        <v>3</v>
      </c>
      <c r="B54" s="6">
        <f t="shared" ref="B54:I54" si="50">B46</f>
        <v>0</v>
      </c>
      <c r="C54" s="6">
        <f t="shared" si="50"/>
        <v>0</v>
      </c>
      <c r="D54">
        <f t="shared" si="50"/>
        <v>0</v>
      </c>
      <c r="E54">
        <f t="shared" si="50"/>
        <v>0</v>
      </c>
      <c r="F54" s="19">
        <f>D46*M46</f>
        <v>0</v>
      </c>
      <c r="G54">
        <f t="shared" si="50"/>
        <v>0</v>
      </c>
      <c r="H54">
        <f t="shared" si="50"/>
        <v>0</v>
      </c>
      <c r="I54">
        <f t="shared" si="50"/>
        <v>0</v>
      </c>
      <c r="J54">
        <f>'1040 W4 PLANNER 2026'!N35</f>
        <v>0</v>
      </c>
      <c r="K54">
        <f>IF(C54="N",8600,0)</f>
        <v>0</v>
      </c>
      <c r="L54" s="19">
        <f>F54+H54-I54-K54</f>
        <v>0</v>
      </c>
      <c r="M54" s="36">
        <f t="shared" si="48"/>
        <v>0</v>
      </c>
      <c r="N54" s="36">
        <f t="shared" si="49"/>
        <v>0</v>
      </c>
      <c r="O54" s="20">
        <f>IF(C54="Y",M54,N54)</f>
        <v>0</v>
      </c>
      <c r="P54" s="20">
        <f>IF(D54&lt;&gt;0,(((O54-G54)/D54)+J54),0)</f>
        <v>0</v>
      </c>
      <c r="Q54" s="20">
        <f>P54*E54</f>
        <v>0</v>
      </c>
      <c r="R54" s="20">
        <f>IF(P54&lt;0,0,P54)</f>
        <v>0</v>
      </c>
      <c r="T54" t="s">
        <v>40</v>
      </c>
      <c r="U54" s="36">
        <f>IF(O54&lt;3800,0,IF(O54&lt;13500,(O54-3800)*0.1,IF(O54&lt;43275,(O54-13500)*0.12+970,IF(O54&lt;88000,(O54-43275)*0.22+4543,IF(O54&lt;164525,(O54-88000)*0.24+14382.5,IF(O54&lt;207900,(O54-164525)*0.32+32748.5,IF(O54&lt;514100,(O54-207900)*0.35+46628.5,(O54-514100)*0.37+153798.5)))))))</f>
        <v>0</v>
      </c>
      <c r="V54">
        <f>IF(O54&gt;420700,O54*0.396+121505.25,0)</f>
        <v>0</v>
      </c>
    </row>
    <row r="55" spans="1:22">
      <c r="A55">
        <v>4</v>
      </c>
      <c r="B55" s="6">
        <f t="shared" ref="B55:I55" si="51">B47</f>
        <v>0</v>
      </c>
      <c r="C55" s="6">
        <f t="shared" si="51"/>
        <v>0</v>
      </c>
      <c r="D55">
        <f t="shared" si="51"/>
        <v>0</v>
      </c>
      <c r="E55">
        <f t="shared" si="51"/>
        <v>0</v>
      </c>
      <c r="F55" s="19">
        <f>D47*M47</f>
        <v>0</v>
      </c>
      <c r="G55">
        <f t="shared" si="51"/>
        <v>0</v>
      </c>
      <c r="H55">
        <f t="shared" si="51"/>
        <v>0</v>
      </c>
      <c r="I55">
        <f t="shared" si="51"/>
        <v>0</v>
      </c>
      <c r="J55">
        <f>'1040 W4 PLANNER 2026'!N36</f>
        <v>0</v>
      </c>
      <c r="K55">
        <f>IF(C55="N",8600,0)</f>
        <v>0</v>
      </c>
      <c r="L55" s="19">
        <f>F55+H55-I55-K55</f>
        <v>0</v>
      </c>
      <c r="M55" s="36">
        <f t="shared" si="48"/>
        <v>0</v>
      </c>
      <c r="N55" s="36">
        <f t="shared" si="49"/>
        <v>0</v>
      </c>
      <c r="O55" s="20">
        <f>IF(C55="Y",M55,N55)</f>
        <v>0</v>
      </c>
      <c r="P55" s="20">
        <f>IF(D55&lt;&gt;0,(((O55-G55)/D55)+J55),0)</f>
        <v>0</v>
      </c>
      <c r="Q55" s="20">
        <f>P55*E55</f>
        <v>0</v>
      </c>
      <c r="R55" s="20">
        <f>IF(P55&lt;0,0,P55)</f>
        <v>0</v>
      </c>
      <c r="T55" t="s">
        <v>40</v>
      </c>
      <c r="U55" s="36">
        <f>IF(O55&lt;3800,0,IF(O55&lt;13500,(O55-3800)*0.1,IF(O55&lt;43275,(O55-13500)*0.12+970,IF(O55&lt;88000,(O55-43275)*0.22+4543,IF(O55&lt;164525,(O55-88000)*0.24+14382.5,IF(O55&lt;207900,(O55-164525)*0.32+32748.5,IF(O55&lt;514100,(O55-207900)*0.35+46628.5,(O55-514100)*0.37+153798.5)))))))</f>
        <v>0</v>
      </c>
      <c r="V55">
        <f>IF(O55&gt;420700,O55*0.396+121505.25,0)</f>
        <v>0</v>
      </c>
    </row>
    <row r="56" spans="1:22">
      <c r="A56">
        <v>5</v>
      </c>
      <c r="B56" s="6">
        <f t="shared" ref="B56:I56" si="52">B48</f>
        <v>0</v>
      </c>
      <c r="C56" s="6">
        <f t="shared" si="52"/>
        <v>0</v>
      </c>
      <c r="D56">
        <f t="shared" si="52"/>
        <v>0</v>
      </c>
      <c r="E56">
        <f t="shared" si="52"/>
        <v>0</v>
      </c>
      <c r="F56" s="19">
        <f>D48*M48</f>
        <v>0</v>
      </c>
      <c r="G56">
        <f t="shared" si="52"/>
        <v>0</v>
      </c>
      <c r="H56">
        <f t="shared" si="52"/>
        <v>0</v>
      </c>
      <c r="I56">
        <f t="shared" si="52"/>
        <v>0</v>
      </c>
      <c r="J56">
        <f>'1040 W4 PLANNER 2026'!N37</f>
        <v>0</v>
      </c>
      <c r="K56">
        <f>IF(C56="N",8600,0)</f>
        <v>0</v>
      </c>
      <c r="L56" s="19">
        <f>F56+H56-I56-K56</f>
        <v>0</v>
      </c>
      <c r="M56" s="36">
        <f t="shared" si="48"/>
        <v>0</v>
      </c>
      <c r="N56" s="36">
        <f t="shared" si="49"/>
        <v>0</v>
      </c>
      <c r="O56" s="20">
        <f>IF(C56="Y",M56,N56)</f>
        <v>0</v>
      </c>
      <c r="P56" s="20">
        <f>IF(D56&lt;&gt;0,(((O56-G56)/D56)+J56),0)</f>
        <v>0</v>
      </c>
      <c r="Q56" s="20">
        <f>P56*E56</f>
        <v>0</v>
      </c>
      <c r="R56" s="20">
        <f>IF(P56&lt;0,0,P56)</f>
        <v>0</v>
      </c>
      <c r="T56" t="s">
        <v>40</v>
      </c>
      <c r="U56" s="36">
        <f>IF(O56&lt;3800,0,IF(O56&lt;13500,(O56-3800)*0.1,IF(O56&lt;43275,(O56-13500)*0.12+970,IF(O56&lt;88000,(O56-43275)*0.22+4543,IF(O56&lt;164525,(O56-88000)*0.24+14382.5,IF(O56&lt;207900,(O56-164525)*0.32+32748.5,IF(O56&lt;514100,(O56-207900)*0.35+46628.5,(O56-514100)*0.37+153798.5)))))))</f>
        <v>0</v>
      </c>
      <c r="V56">
        <f>IF(O56&gt;420700,O56*0.396+121505.25,0)</f>
        <v>0</v>
      </c>
    </row>
    <row r="57" spans="1:22">
      <c r="A57" s="34" t="s">
        <v>96</v>
      </c>
      <c r="M57" s="36"/>
      <c r="N57" s="36"/>
    </row>
    <row r="58" spans="1:22">
      <c r="A58">
        <v>1</v>
      </c>
      <c r="B58" s="6">
        <f t="shared" ref="B58:C62" si="53">B44</f>
        <v>0</v>
      </c>
      <c r="C58" s="6">
        <f t="shared" si="53"/>
        <v>0</v>
      </c>
      <c r="D58">
        <f t="shared" ref="D58:E62" si="54">D44</f>
        <v>0</v>
      </c>
      <c r="E58">
        <f t="shared" si="54"/>
        <v>0</v>
      </c>
      <c r="F58" s="19">
        <f>D44*M44</f>
        <v>0</v>
      </c>
      <c r="G58">
        <f t="shared" ref="G58:I62" si="55">G44</f>
        <v>0</v>
      </c>
      <c r="H58">
        <f t="shared" si="55"/>
        <v>0</v>
      </c>
      <c r="I58">
        <f t="shared" si="55"/>
        <v>0</v>
      </c>
      <c r="J58">
        <f>'1040 W4 PLANNER 2026'!N33</f>
        <v>0</v>
      </c>
      <c r="K58">
        <f>IF(C58="N",12900,0)</f>
        <v>0</v>
      </c>
      <c r="L58" s="19">
        <f t="shared" si="46"/>
        <v>0</v>
      </c>
      <c r="M58" s="36">
        <f>IF(L58&lt;16100,0,IF(L58&lt;28500,(L58-16150)*0.1,IF(L58&lt;66500,(L58-28500)*0.12+1240,IF(L58&lt;121800,(L58-66500)*0.22+5800,IF(L58&lt;217875,(L58-121800)*0.24+17966,IF(L58&lt;272325,(L58-217875)*0.32+41024,IF(L58&lt;40450,(L58-272325)*0.35+58448,(L58-400450)*0.37+103292)))))))</f>
        <v>0</v>
      </c>
      <c r="N58" s="36">
        <f>IF(L58&lt;19300,0,IF(L58&lt;44100,(L58-19300)*0.1,IF(L58&lt;120100,(L58-44100)*0.12+2480,IF(L58&lt;230700,(L58-114600)*0.22+11600,IF(L58&lt;422850,(L58-230700)*0.24+35932,IF(L58&lt;531750,(L58-422850)*0.32+82048,IF(L58&lt;788000,(L58-531750)*0.35+116896,(L58-788000)*0.37+206584)))))))</f>
        <v>0</v>
      </c>
      <c r="O58" s="20">
        <f>IF(C58="Y",M58,N58)</f>
        <v>0</v>
      </c>
      <c r="P58" s="20">
        <f>IF(D58&lt;&gt;0,(((O58-G58)/D58)+J58),0)</f>
        <v>0</v>
      </c>
      <c r="Q58" s="20">
        <f>P58*E58</f>
        <v>0</v>
      </c>
      <c r="R58" s="20">
        <f>IF(P58&lt;0,0,P58)</f>
        <v>0</v>
      </c>
      <c r="T58" t="s">
        <v>41</v>
      </c>
      <c r="U58" s="36">
        <f>IF(O52&lt;11800,0,IF(O52&lt;31200,(O52-11800)*0.1,IF(O52&lt;90750,(O52-31200)*0.12+1940,IF(O52&lt;180200,(O52-90750)*0.22+9086,IF(O52&lt;333250,(O52-180200)*0.24+28765,IF(O52&lt;420000,(O52-333250)*0.32+65497,IF(O52&lt;624150,(O52-420000)*0.35+93257,(O52-624150)*0.37+164709.5)))))))</f>
        <v>0</v>
      </c>
      <c r="V58">
        <f>IF(O52&gt;479350,O52*0.396+131628,0)</f>
        <v>0</v>
      </c>
    </row>
    <row r="59" spans="1:22">
      <c r="A59">
        <v>2</v>
      </c>
      <c r="B59" s="6">
        <f t="shared" si="53"/>
        <v>0</v>
      </c>
      <c r="C59" s="6">
        <f t="shared" si="53"/>
        <v>0</v>
      </c>
      <c r="D59">
        <f t="shared" si="54"/>
        <v>0</v>
      </c>
      <c r="E59">
        <f t="shared" si="54"/>
        <v>0</v>
      </c>
      <c r="F59" s="19">
        <f>D45*M45</f>
        <v>0</v>
      </c>
      <c r="G59">
        <f t="shared" si="55"/>
        <v>0</v>
      </c>
      <c r="H59">
        <f t="shared" si="55"/>
        <v>0</v>
      </c>
      <c r="I59">
        <f t="shared" si="55"/>
        <v>0</v>
      </c>
      <c r="J59">
        <f>'1040 W4 PLANNER 2026'!N34</f>
        <v>0</v>
      </c>
      <c r="K59">
        <f>IF(C59="N",12900,0)</f>
        <v>0</v>
      </c>
      <c r="L59" s="19">
        <f t="shared" si="46"/>
        <v>0</v>
      </c>
      <c r="M59" s="36">
        <f t="shared" ref="M59:M62" si="56">IF(L59&lt;16100,0,IF(L59&lt;28500,(L59-16150)*0.1,IF(L59&lt;66500,(L59-28500)*0.12+1240,IF(L59&lt;121800,(L59-66500)*0.22+5800,IF(L59&lt;217875,(L59-121800)*0.24+17966,IF(L59&lt;272325,(L59-217875)*0.32+41024,IF(L59&lt;40450,(L59-272325)*0.35+58448,(L59-400450)*0.37+103292)))))))</f>
        <v>0</v>
      </c>
      <c r="N59" s="36">
        <f t="shared" ref="N59:N62" si="57">IF(L59&lt;19300,0,IF(L59&lt;44100,(L59-19300)*0.1,IF(L59&lt;120100,(L59-44100)*0.12+2480,IF(L59&lt;230700,(L59-114600)*0.22+11600,IF(L59&lt;422850,(L59-230700)*0.24+35932,IF(L59&lt;531750,(L59-422850)*0.32+82048,IF(L59&lt;788000,(L59-531750)*0.35+116896,(L59-788000)*0.37+206584)))))))</f>
        <v>0</v>
      </c>
      <c r="O59" s="20">
        <f>IF(C59="Y",M59,N59)</f>
        <v>0</v>
      </c>
      <c r="P59" s="20">
        <f>IF(D59&lt;&gt;0,(((O59-G59)/D59)+J59),0)</f>
        <v>0</v>
      </c>
      <c r="Q59" s="20">
        <f>P59*E59</f>
        <v>0</v>
      </c>
      <c r="R59" s="20">
        <f>IF(P59&lt;0,0,P59)</f>
        <v>0</v>
      </c>
      <c r="T59" t="s">
        <v>41</v>
      </c>
      <c r="U59" s="36">
        <f>IF(O53&lt;11800,0,IF(O53&lt;31200,(O53-11800)*0.1,IF(O53&lt;90750,(O53-31200)*0.12+1940,IF(O53&lt;180200,(O53-90750)*0.22+9086,IF(O53&lt;333250,(O53-180200)*0.24+28765,IF(O53&lt;420000,(O53-333250)*0.32+65497,IF(O53&lt;624150,(O53-420000)*0.35+93257,(O53-624150)*0.37+164709.5)))))))</f>
        <v>0</v>
      </c>
      <c r="V59">
        <f>IF(O53&gt;479350,O53*0.396+131628,0)</f>
        <v>0</v>
      </c>
    </row>
    <row r="60" spans="1:22">
      <c r="A60">
        <v>3</v>
      </c>
      <c r="B60" s="6">
        <f t="shared" si="53"/>
        <v>0</v>
      </c>
      <c r="C60" s="6">
        <f t="shared" si="53"/>
        <v>0</v>
      </c>
      <c r="D60">
        <f t="shared" si="54"/>
        <v>0</v>
      </c>
      <c r="E60">
        <f t="shared" si="54"/>
        <v>0</v>
      </c>
      <c r="F60" s="19">
        <f>D46*M46</f>
        <v>0</v>
      </c>
      <c r="G60">
        <f t="shared" si="55"/>
        <v>0</v>
      </c>
      <c r="H60">
        <f t="shared" si="55"/>
        <v>0</v>
      </c>
      <c r="I60">
        <f t="shared" si="55"/>
        <v>0</v>
      </c>
      <c r="J60">
        <f>'1040 W4 PLANNER 2026'!N35</f>
        <v>0</v>
      </c>
      <c r="K60">
        <f>IF(C60="N",12900,0)</f>
        <v>0</v>
      </c>
      <c r="L60" s="19">
        <f t="shared" si="46"/>
        <v>0</v>
      </c>
      <c r="M60" s="36">
        <f t="shared" si="56"/>
        <v>0</v>
      </c>
      <c r="N60" s="36">
        <f t="shared" si="57"/>
        <v>0</v>
      </c>
      <c r="O60" s="20">
        <f>IF(C60="Y",M60,N60)</f>
        <v>0</v>
      </c>
      <c r="P60" s="20">
        <f>IF(D60&lt;&gt;0,(((O60-G60)/D60)+J60),0)</f>
        <v>0</v>
      </c>
      <c r="Q60" s="20">
        <f>P60*E60</f>
        <v>0</v>
      </c>
      <c r="R60" s="20">
        <f>IF(P60&lt;0,0,P60)</f>
        <v>0</v>
      </c>
      <c r="T60" t="s">
        <v>41</v>
      </c>
      <c r="U60" s="36">
        <f>IF(O54&lt;11800,0,IF(O54&lt;31200,(O54-11800)*0.1,IF(O54&lt;90750,(O54-31200)*0.12+1940,IF(O54&lt;180200,(O54-90750)*0.22+9086,IF(O54&lt;333250,(O54-180200)*0.24+28765,IF(O54&lt;420000,(O54-333250)*0.32+65497,IF(O54&lt;624150,(O54-420000)*0.35+93257,(O54-624150)*0.37+164709.5)))))))</f>
        <v>0</v>
      </c>
      <c r="V60">
        <f>IF(O54&gt;479350,O54*0.396+131628,0)</f>
        <v>0</v>
      </c>
    </row>
    <row r="61" spans="1:22">
      <c r="A61">
        <v>4</v>
      </c>
      <c r="B61" s="6">
        <f t="shared" si="53"/>
        <v>0</v>
      </c>
      <c r="C61" s="6">
        <f t="shared" si="53"/>
        <v>0</v>
      </c>
      <c r="D61">
        <f t="shared" si="54"/>
        <v>0</v>
      </c>
      <c r="E61">
        <f t="shared" si="54"/>
        <v>0</v>
      </c>
      <c r="F61" s="19">
        <f>D47*M47</f>
        <v>0</v>
      </c>
      <c r="G61">
        <f t="shared" si="55"/>
        <v>0</v>
      </c>
      <c r="H61">
        <f t="shared" si="55"/>
        <v>0</v>
      </c>
      <c r="I61">
        <f t="shared" si="55"/>
        <v>0</v>
      </c>
      <c r="J61">
        <f>'1040 W4 PLANNER 2026'!N36</f>
        <v>0</v>
      </c>
      <c r="K61">
        <f>IF(C61="N",12900,0)</f>
        <v>0</v>
      </c>
      <c r="L61" s="19">
        <f t="shared" si="46"/>
        <v>0</v>
      </c>
      <c r="M61" s="36">
        <f t="shared" si="56"/>
        <v>0</v>
      </c>
      <c r="N61" s="36">
        <f t="shared" si="57"/>
        <v>0</v>
      </c>
      <c r="O61" s="20">
        <f>IF(C61="Y",M61,N61)</f>
        <v>0</v>
      </c>
      <c r="P61" s="20">
        <f>IF(D61&lt;&gt;0,(((O61-G61)/D61)+J61),0)</f>
        <v>0</v>
      </c>
      <c r="Q61" s="20">
        <f>P61*E61</f>
        <v>0</v>
      </c>
      <c r="R61" s="20">
        <f>IF(P61&lt;0,0,P61)</f>
        <v>0</v>
      </c>
      <c r="T61" t="s">
        <v>41</v>
      </c>
      <c r="U61" s="36">
        <f>IF(O55&lt;11800,0,IF(O55&lt;31200,(O55-11800)*0.1,IF(O55&lt;90750,(O55-31200)*0.12+1940,IF(O55&lt;180200,(O55-90750)*0.22+9086,IF(O55&lt;333250,(O55-180200)*0.24+28765,IF(O55&lt;420000,(O55-333250)*0.32+65497,IF(O55&lt;624150,(O55-420000)*0.35+93257,(O55-624150)*0.37+164709.5)))))))</f>
        <v>0</v>
      </c>
      <c r="V61">
        <f>IF(O55&gt;479350,O55*0.396+131628,0)</f>
        <v>0</v>
      </c>
    </row>
    <row r="62" spans="1:22">
      <c r="A62">
        <v>5</v>
      </c>
      <c r="B62" s="6">
        <f t="shared" si="53"/>
        <v>0</v>
      </c>
      <c r="C62" s="6">
        <f t="shared" si="53"/>
        <v>0</v>
      </c>
      <c r="D62">
        <f t="shared" si="54"/>
        <v>0</v>
      </c>
      <c r="E62">
        <f t="shared" si="54"/>
        <v>0</v>
      </c>
      <c r="F62" s="19">
        <f>D48*M48</f>
        <v>0</v>
      </c>
      <c r="G62">
        <f t="shared" si="55"/>
        <v>0</v>
      </c>
      <c r="H62">
        <f t="shared" si="55"/>
        <v>0</v>
      </c>
      <c r="I62">
        <f t="shared" si="55"/>
        <v>0</v>
      </c>
      <c r="J62">
        <f>'1040 W4 PLANNER 2026'!N37</f>
        <v>0</v>
      </c>
      <c r="K62">
        <f>IF(C62="N",12900,0)</f>
        <v>0</v>
      </c>
      <c r="L62" s="19">
        <f t="shared" si="46"/>
        <v>0</v>
      </c>
      <c r="M62" s="36">
        <f t="shared" si="56"/>
        <v>0</v>
      </c>
      <c r="N62" s="36">
        <f t="shared" si="57"/>
        <v>0</v>
      </c>
      <c r="O62" s="20">
        <f>IF(C62="Y",M62,N62)</f>
        <v>0</v>
      </c>
      <c r="P62" s="20">
        <f>IF(D62&lt;&gt;0,(((O62-G62)/D62)+J62),0)</f>
        <v>0</v>
      </c>
      <c r="Q62" s="20">
        <f>P62*E62</f>
        <v>0</v>
      </c>
      <c r="R62" s="20">
        <f>IF(P62&lt;0,0,P62)</f>
        <v>0</v>
      </c>
      <c r="T62" t="s">
        <v>41</v>
      </c>
      <c r="U62" s="36">
        <f>IF(O56&lt;11800,0,IF(O56&lt;31200,(O56-11800)*0.1,IF(O56&lt;90750,(O56-31200)*0.12+1940,IF(O56&lt;180200,(O56-90750)*0.22+9086,IF(O56&lt;333250,(O56-180200)*0.24+28765,IF(O56&lt;420000,(O56-333250)*0.32+65497,IF(O56&lt;624150,(O56-420000)*0.35+93257,(O56-624150)*0.37+164709.5)))))))</f>
        <v>0</v>
      </c>
      <c r="V62">
        <f>IF(O56&gt;479350,O56*0.396+131628,0)</f>
        <v>0</v>
      </c>
    </row>
    <row r="63" spans="1:22">
      <c r="A63" s="34" t="s">
        <v>98</v>
      </c>
    </row>
    <row r="64" spans="1:22">
      <c r="A64">
        <v>1</v>
      </c>
      <c r="B64" s="6">
        <f t="shared" ref="B64:E68" si="58">B44</f>
        <v>0</v>
      </c>
      <c r="C64" s="6">
        <f t="shared" si="58"/>
        <v>0</v>
      </c>
      <c r="D64" s="6">
        <f t="shared" si="58"/>
        <v>0</v>
      </c>
      <c r="E64" s="6">
        <f t="shared" si="58"/>
        <v>0</v>
      </c>
      <c r="F64" s="19">
        <f>D44*M44</f>
        <v>0</v>
      </c>
      <c r="G64">
        <f t="shared" ref="G64:I65" si="59">G44</f>
        <v>0</v>
      </c>
      <c r="H64">
        <f t="shared" si="59"/>
        <v>0</v>
      </c>
      <c r="I64">
        <f t="shared" si="59"/>
        <v>0</v>
      </c>
      <c r="J64">
        <f>'1040 W4 PLANNER 2026'!N39</f>
        <v>0</v>
      </c>
      <c r="K64">
        <f>IF(C64="N",8600,0)</f>
        <v>0</v>
      </c>
      <c r="L64" s="19">
        <f>F64+H64-I64-K64</f>
        <v>0</v>
      </c>
      <c r="M64" s="149">
        <f>IF(L64&lt;12075,0,IF(L64&lt;20925,(L64-12075)*0.1,IF(L64&lt;45800,(L64-19752)*0.12+886,IF(L64&lt;64925,(L64-45800)*0.22+3870,IF(L64&lt;112950,(L64-64925)*0.24+8077.5,IF(L64&lt;140175,(L64-112950)*0.32+19603.5,IF(L64&lt;332375,(L64-140175)*0.35+28315.5,(L64-332375)*0.37+95585.5)))))))</f>
        <v>0</v>
      </c>
      <c r="N64" s="36">
        <f>IF(L64&lt;15550,0,IF(L64&lt;33250,(L64-15550)*0.1,IF(L64&lt;83000,(L64-33250)*0.12+1770,IF(L64&lt;121250,(L64-83000)*0.22+7740,IF(L64&lt;217300,(L64-121250)*0.24+16165,IF(L64&lt;271750,(L64-217300)*0.32+39207,IF(L64&lt;656150,(L64-271750)*0.35+56531,(L64-656150)*0.37+191171)))))))</f>
        <v>0</v>
      </c>
      <c r="O64" s="20">
        <f>IF(C64="Y",M64,N64)</f>
        <v>0</v>
      </c>
      <c r="P64" s="20">
        <f>IF(D64&lt;&gt;0,(((O64-G64)/D64)+J64),0)</f>
        <v>0</v>
      </c>
      <c r="Q64" s="20">
        <f>P64*E64</f>
        <v>0</v>
      </c>
      <c r="R64" s="20">
        <f>IF(P64&lt;0,0,P64)</f>
        <v>0</v>
      </c>
    </row>
    <row r="65" spans="1:18">
      <c r="A65">
        <v>2</v>
      </c>
      <c r="B65" s="6">
        <f t="shared" si="58"/>
        <v>0</v>
      </c>
      <c r="C65" s="6">
        <f t="shared" si="58"/>
        <v>0</v>
      </c>
      <c r="D65" s="6">
        <f t="shared" si="58"/>
        <v>0</v>
      </c>
      <c r="E65" s="6">
        <f t="shared" si="58"/>
        <v>0</v>
      </c>
      <c r="F65" s="19">
        <f>D45*M45</f>
        <v>0</v>
      </c>
      <c r="G65">
        <f t="shared" si="59"/>
        <v>0</v>
      </c>
      <c r="H65">
        <f t="shared" si="59"/>
        <v>0</v>
      </c>
      <c r="I65">
        <f t="shared" si="59"/>
        <v>0</v>
      </c>
      <c r="J65">
        <f>'1040 W4 PLANNER 2026'!N40</f>
        <v>0</v>
      </c>
      <c r="K65">
        <f>IF(C65="N",8600,0)</f>
        <v>0</v>
      </c>
      <c r="L65" s="19">
        <f>F65+H65-I65-K65</f>
        <v>0</v>
      </c>
      <c r="M65" s="149">
        <f t="shared" ref="M65:M68" si="60">IF(L65&lt;12075,0,IF(L65&lt;20925,(L65-12075)*0.1,IF(L65&lt;45800,(L65-19752)*0.12+886,IF(L65&lt;64925,(L65-45800)*0.22+3870,IF(L65&lt;112950,(L65-64925)*0.24+8077.5,IF(L65&lt;140175,(L65-112950)*0.32+19603.5,IF(L65&lt;332375,(L65-140175)*0.35+28315.5,(L65-332375)*0.37+95585.5)))))))</f>
        <v>0</v>
      </c>
      <c r="N65" s="36">
        <f t="shared" ref="N65:N68" si="61">IF(L65&lt;15550,0,IF(L65&lt;33250,(L65-15550)*0.1,IF(L65&lt;83000,(L65-33250)*0.12+1770,IF(L65&lt;121250,(L65-83000)*0.22+7740,IF(L65&lt;217300,(L65-121250)*0.24+16165,IF(L65&lt;271750,(L65-217300)*0.32+39207,IF(L65&lt;656150,(L65-271750)*0.35+56531,(L65-656150)*0.37+191171)))))))</f>
        <v>0</v>
      </c>
      <c r="O65" s="20">
        <f>IF(C65="Y",M65,N65)</f>
        <v>0</v>
      </c>
      <c r="P65" s="20">
        <f>IF(D65&lt;&gt;0,(((O65-G65)/D65)+J65),0)</f>
        <v>0</v>
      </c>
      <c r="Q65" s="20">
        <f>P65*E65</f>
        <v>0</v>
      </c>
      <c r="R65" s="20">
        <f>IF(P65&lt;0,0,P65)</f>
        <v>0</v>
      </c>
    </row>
    <row r="66" spans="1:18">
      <c r="A66">
        <v>3</v>
      </c>
      <c r="B66" s="6">
        <f t="shared" si="58"/>
        <v>0</v>
      </c>
      <c r="C66" s="6">
        <f t="shared" si="58"/>
        <v>0</v>
      </c>
      <c r="D66" s="6">
        <f t="shared" si="58"/>
        <v>0</v>
      </c>
      <c r="E66" s="6">
        <f t="shared" si="58"/>
        <v>0</v>
      </c>
      <c r="F66" s="19">
        <f>D46*M46</f>
        <v>0</v>
      </c>
      <c r="G66">
        <f t="shared" ref="G66:I68" si="62">G46</f>
        <v>0</v>
      </c>
      <c r="H66">
        <f t="shared" si="62"/>
        <v>0</v>
      </c>
      <c r="I66">
        <f t="shared" si="62"/>
        <v>0</v>
      </c>
      <c r="J66">
        <f>'1040 W4 PLANNER 2026'!N41</f>
        <v>0</v>
      </c>
      <c r="K66">
        <f>IF(C66="N",8600,0)</f>
        <v>0</v>
      </c>
      <c r="L66" s="19">
        <f>F66+H66-I66-K66</f>
        <v>0</v>
      </c>
      <c r="M66" s="149">
        <f t="shared" si="60"/>
        <v>0</v>
      </c>
      <c r="N66" s="36">
        <f t="shared" si="61"/>
        <v>0</v>
      </c>
      <c r="O66" s="20">
        <f>IF(C66="Y",M66,N66)</f>
        <v>0</v>
      </c>
      <c r="P66" s="20">
        <f>IF(D66&lt;&gt;0,(((O66-G66)/D66)+J66),0)</f>
        <v>0</v>
      </c>
      <c r="Q66" s="20">
        <f>P66*E66</f>
        <v>0</v>
      </c>
      <c r="R66" s="20">
        <f>IF(P66&lt;0,0,P66)</f>
        <v>0</v>
      </c>
    </row>
    <row r="67" spans="1:18">
      <c r="A67">
        <v>4</v>
      </c>
      <c r="B67" s="6">
        <f t="shared" si="58"/>
        <v>0</v>
      </c>
      <c r="C67" s="6">
        <f t="shared" si="58"/>
        <v>0</v>
      </c>
      <c r="D67" s="6">
        <f t="shared" si="58"/>
        <v>0</v>
      </c>
      <c r="E67" s="6">
        <f t="shared" si="58"/>
        <v>0</v>
      </c>
      <c r="F67" s="19">
        <f>D47*M47</f>
        <v>0</v>
      </c>
      <c r="G67">
        <f t="shared" si="62"/>
        <v>0</v>
      </c>
      <c r="H67">
        <f t="shared" si="62"/>
        <v>0</v>
      </c>
      <c r="I67">
        <f t="shared" si="62"/>
        <v>0</v>
      </c>
      <c r="J67">
        <f>'1040 W4 PLANNER 2026'!N42</f>
        <v>0</v>
      </c>
      <c r="K67">
        <f>IF(C67="N",8600,0)</f>
        <v>0</v>
      </c>
      <c r="L67" s="19">
        <f>F67+H67-I67-K67</f>
        <v>0</v>
      </c>
      <c r="M67" s="149">
        <f t="shared" si="60"/>
        <v>0</v>
      </c>
      <c r="N67" s="36">
        <f t="shared" si="61"/>
        <v>0</v>
      </c>
      <c r="O67" s="20">
        <f>IF(C67="Y",M67,N67)</f>
        <v>0</v>
      </c>
      <c r="P67" s="20">
        <f>IF(D67&lt;&gt;0,(((O67-G67)/D67)+J67),0)</f>
        <v>0</v>
      </c>
      <c r="Q67" s="20">
        <f>P67*E67</f>
        <v>0</v>
      </c>
      <c r="R67" s="20">
        <f>IF(P67&lt;0,0,P67)</f>
        <v>0</v>
      </c>
    </row>
    <row r="68" spans="1:18">
      <c r="A68">
        <v>5</v>
      </c>
      <c r="B68" s="6">
        <f t="shared" si="58"/>
        <v>0</v>
      </c>
      <c r="C68" s="6">
        <f t="shared" si="58"/>
        <v>0</v>
      </c>
      <c r="D68" s="6">
        <f t="shared" si="58"/>
        <v>0</v>
      </c>
      <c r="E68" s="6">
        <f t="shared" si="58"/>
        <v>0</v>
      </c>
      <c r="F68" s="19">
        <f>D48*M48</f>
        <v>0</v>
      </c>
      <c r="G68">
        <f t="shared" si="62"/>
        <v>0</v>
      </c>
      <c r="H68">
        <f t="shared" si="62"/>
        <v>0</v>
      </c>
      <c r="I68">
        <f t="shared" si="62"/>
        <v>0</v>
      </c>
      <c r="J68">
        <f>'1040 W4 PLANNER 2026'!N43</f>
        <v>0</v>
      </c>
      <c r="K68">
        <f>IF(C68="N",8600,0)</f>
        <v>0</v>
      </c>
      <c r="L68" s="19">
        <f>F68+H68-I68-K68</f>
        <v>0</v>
      </c>
      <c r="M68" s="149">
        <f t="shared" si="60"/>
        <v>0</v>
      </c>
      <c r="N68" s="36">
        <f t="shared" si="61"/>
        <v>0</v>
      </c>
      <c r="O68" s="20">
        <f>IF(C68="Y",M68,N68)</f>
        <v>0</v>
      </c>
      <c r="P68" s="20">
        <f>IF(D68&lt;&gt;0,(((O68-G68)/D68)+J68),0)</f>
        <v>0</v>
      </c>
      <c r="Q68" s="20">
        <f>P68*E68</f>
        <v>0</v>
      </c>
      <c r="R68" s="20">
        <f>IF(P68&lt;0,0,P68)</f>
        <v>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425C9-6733-4890-B02F-2CB91D4EE295}">
  <dimension ref="A3:V65"/>
  <sheetViews>
    <sheetView topLeftCell="A31" workbookViewId="0">
      <selection activeCell="A8" sqref="A8"/>
    </sheetView>
  </sheetViews>
  <sheetFormatPr defaultRowHeight="15"/>
  <cols>
    <col min="2" max="2" width="12" bestFit="1" customWidth="1"/>
    <col min="3" max="3" width="10.5703125" bestFit="1" customWidth="1"/>
    <col min="5" max="5" width="10.42578125" bestFit="1" customWidth="1"/>
    <col min="6" max="6" width="12" bestFit="1" customWidth="1"/>
    <col min="8" max="8" width="10" bestFit="1" customWidth="1"/>
    <col min="17" max="17" width="3.85546875" customWidth="1"/>
  </cols>
  <sheetData>
    <row r="3" spans="1:15">
      <c r="A3">
        <v>2025</v>
      </c>
      <c r="B3" t="s">
        <v>473</v>
      </c>
      <c r="C3" t="s">
        <v>474</v>
      </c>
      <c r="D3" t="s">
        <v>475</v>
      </c>
      <c r="E3" t="s">
        <v>476</v>
      </c>
      <c r="F3" t="s">
        <v>477</v>
      </c>
      <c r="G3" t="s">
        <v>478</v>
      </c>
      <c r="H3" t="s">
        <v>479</v>
      </c>
      <c r="I3" t="s">
        <v>480</v>
      </c>
      <c r="J3" t="s">
        <v>481</v>
      </c>
      <c r="K3" t="s">
        <v>482</v>
      </c>
      <c r="L3" t="s">
        <v>483</v>
      </c>
      <c r="M3">
        <v>2020</v>
      </c>
      <c r="N3" t="s">
        <v>484</v>
      </c>
      <c r="O3" t="s">
        <v>485</v>
      </c>
    </row>
    <row r="4" spans="1:15">
      <c r="A4" s="34" t="s">
        <v>486</v>
      </c>
      <c r="B4" t="s">
        <v>478</v>
      </c>
      <c r="C4" t="s">
        <v>487</v>
      </c>
    </row>
    <row r="5" spans="1:15">
      <c r="A5" t="s">
        <v>488</v>
      </c>
      <c r="B5" t="s">
        <v>195</v>
      </c>
      <c r="C5" t="s">
        <v>489</v>
      </c>
      <c r="D5" t="s">
        <v>490</v>
      </c>
    </row>
    <row r="6" spans="1:15">
      <c r="A6" t="s">
        <v>491</v>
      </c>
      <c r="B6" t="s">
        <v>492</v>
      </c>
      <c r="C6" t="s">
        <v>493</v>
      </c>
      <c r="D6" t="s">
        <v>494</v>
      </c>
      <c r="E6" t="s">
        <v>495</v>
      </c>
      <c r="F6" t="s">
        <v>496</v>
      </c>
      <c r="G6" t="s">
        <v>497</v>
      </c>
      <c r="H6">
        <v>2</v>
      </c>
      <c r="I6" t="s">
        <v>498</v>
      </c>
      <c r="J6" t="s">
        <v>499</v>
      </c>
      <c r="K6" t="s">
        <v>482</v>
      </c>
      <c r="L6" t="s">
        <v>500</v>
      </c>
      <c r="M6" t="s">
        <v>501</v>
      </c>
      <c r="N6" t="s">
        <v>502</v>
      </c>
    </row>
    <row r="7" spans="1:15">
      <c r="A7" t="s">
        <v>499</v>
      </c>
      <c r="B7" t="s">
        <v>503</v>
      </c>
      <c r="C7" t="s">
        <v>497</v>
      </c>
      <c r="D7" t="s">
        <v>504</v>
      </c>
      <c r="E7" t="s">
        <v>505</v>
      </c>
      <c r="F7" t="s">
        <v>195</v>
      </c>
      <c r="G7" t="s">
        <v>489</v>
      </c>
      <c r="H7" t="s">
        <v>490</v>
      </c>
    </row>
    <row r="8" spans="1:15">
      <c r="A8" t="s">
        <v>491</v>
      </c>
      <c r="B8" t="s">
        <v>492</v>
      </c>
      <c r="C8" t="s">
        <v>493</v>
      </c>
      <c r="D8" t="s">
        <v>494</v>
      </c>
      <c r="E8" t="s">
        <v>495</v>
      </c>
      <c r="F8" t="s">
        <v>496</v>
      </c>
      <c r="G8" t="s">
        <v>497</v>
      </c>
      <c r="H8">
        <v>2</v>
      </c>
      <c r="I8" t="s">
        <v>498</v>
      </c>
      <c r="J8" t="s">
        <v>499</v>
      </c>
      <c r="K8" t="s">
        <v>482</v>
      </c>
      <c r="L8" t="s">
        <v>506</v>
      </c>
      <c r="M8" t="s">
        <v>502</v>
      </c>
    </row>
    <row r="9" spans="1:15">
      <c r="A9" t="s">
        <v>507</v>
      </c>
      <c r="B9" t="s">
        <v>494</v>
      </c>
      <c r="C9" t="s">
        <v>508</v>
      </c>
      <c r="D9" t="s">
        <v>470</v>
      </c>
    </row>
    <row r="10" spans="1:15">
      <c r="A10" t="s">
        <v>509</v>
      </c>
      <c r="B10" t="s">
        <v>510</v>
      </c>
      <c r="C10" t="s">
        <v>511</v>
      </c>
      <c r="D10" t="s">
        <v>512</v>
      </c>
      <c r="E10" t="s">
        <v>513</v>
      </c>
    </row>
    <row r="11" spans="1:15">
      <c r="A11" t="s">
        <v>468</v>
      </c>
    </row>
    <row r="12" spans="1:15">
      <c r="A12" t="s">
        <v>514</v>
      </c>
      <c r="B12" t="s">
        <v>515</v>
      </c>
    </row>
    <row r="13" spans="1:15">
      <c r="A13" t="s">
        <v>516</v>
      </c>
      <c r="B13" t="s">
        <v>512</v>
      </c>
    </row>
    <row r="14" spans="1:15">
      <c r="A14" t="s">
        <v>517</v>
      </c>
      <c r="B14" t="s">
        <v>518</v>
      </c>
    </row>
    <row r="15" spans="1:15">
      <c r="A15" t="s">
        <v>469</v>
      </c>
    </row>
    <row r="16" spans="1:15">
      <c r="A16" t="s">
        <v>498</v>
      </c>
      <c r="B16" t="s">
        <v>494</v>
      </c>
    </row>
    <row r="17" spans="1:5">
      <c r="A17" t="s">
        <v>514</v>
      </c>
      <c r="B17" t="s">
        <v>519</v>
      </c>
    </row>
    <row r="18" spans="1:5">
      <c r="A18" t="s">
        <v>494</v>
      </c>
      <c r="B18" t="s">
        <v>508</v>
      </c>
    </row>
    <row r="19" spans="1:5">
      <c r="A19" t="s">
        <v>470</v>
      </c>
    </row>
    <row r="20" spans="1:5">
      <c r="A20" t="s">
        <v>471</v>
      </c>
    </row>
    <row r="21" spans="1:5">
      <c r="A21" t="s">
        <v>507</v>
      </c>
      <c r="B21" t="s">
        <v>494</v>
      </c>
      <c r="C21" t="s">
        <v>508</v>
      </c>
      <c r="D21" t="s">
        <v>470</v>
      </c>
    </row>
    <row r="22" spans="1:5">
      <c r="A22" t="s">
        <v>509</v>
      </c>
      <c r="B22" t="s">
        <v>510</v>
      </c>
      <c r="C22" t="s">
        <v>511</v>
      </c>
      <c r="D22" t="s">
        <v>512</v>
      </c>
      <c r="E22" t="s">
        <v>513</v>
      </c>
    </row>
    <row r="23" spans="1:5">
      <c r="A23" t="s">
        <v>468</v>
      </c>
    </row>
    <row r="24" spans="1:5">
      <c r="A24" t="s">
        <v>514</v>
      </c>
      <c r="B24" t="s">
        <v>515</v>
      </c>
    </row>
    <row r="25" spans="1:5">
      <c r="A25" t="s">
        <v>516</v>
      </c>
      <c r="B25" t="s">
        <v>512</v>
      </c>
    </row>
    <row r="26" spans="1:5">
      <c r="A26" t="s">
        <v>517</v>
      </c>
      <c r="B26" t="s">
        <v>518</v>
      </c>
    </row>
    <row r="27" spans="1:5">
      <c r="A27" t="s">
        <v>469</v>
      </c>
    </row>
    <row r="28" spans="1:5">
      <c r="A28" t="s">
        <v>498</v>
      </c>
      <c r="B28" t="s">
        <v>494</v>
      </c>
    </row>
    <row r="29" spans="1:5">
      <c r="A29" t="s">
        <v>514</v>
      </c>
      <c r="B29" t="s">
        <v>519</v>
      </c>
    </row>
    <row r="30" spans="1:5">
      <c r="A30" t="s">
        <v>494</v>
      </c>
      <c r="B30" t="s">
        <v>508</v>
      </c>
    </row>
    <row r="31" spans="1:5">
      <c r="A31" t="s">
        <v>470</v>
      </c>
    </row>
    <row r="32" spans="1:5">
      <c r="A32" t="s">
        <v>520</v>
      </c>
      <c r="B32" t="s">
        <v>521</v>
      </c>
    </row>
    <row r="33" spans="1:22">
      <c r="A33" t="s">
        <v>522</v>
      </c>
      <c r="B33" t="s">
        <v>523</v>
      </c>
    </row>
    <row r="34" spans="1:22">
      <c r="A34" t="s">
        <v>472</v>
      </c>
      <c r="B34" t="s">
        <v>524</v>
      </c>
      <c r="C34" t="s">
        <v>521</v>
      </c>
    </row>
    <row r="35" spans="1:22">
      <c r="A35" t="s">
        <v>522</v>
      </c>
      <c r="B35" t="s">
        <v>523</v>
      </c>
    </row>
    <row r="36" spans="1:22">
      <c r="A36" t="s">
        <v>472</v>
      </c>
      <c r="H36" t="s">
        <v>537</v>
      </c>
      <c r="S36" s="11"/>
      <c r="T36" t="s">
        <v>537</v>
      </c>
    </row>
    <row r="37" spans="1:22">
      <c r="A37" t="s">
        <v>525</v>
      </c>
      <c r="B37" t="s">
        <v>526</v>
      </c>
      <c r="C37" t="s">
        <v>527</v>
      </c>
      <c r="D37" t="s">
        <v>528</v>
      </c>
      <c r="E37" t="s">
        <v>529</v>
      </c>
      <c r="F37" t="s">
        <v>525</v>
      </c>
      <c r="G37" t="s">
        <v>526</v>
      </c>
      <c r="H37" t="s">
        <v>527</v>
      </c>
      <c r="I37" t="s">
        <v>528</v>
      </c>
      <c r="J37" t="s">
        <v>529</v>
      </c>
      <c r="L37" t="s">
        <v>525</v>
      </c>
      <c r="M37" t="s">
        <v>526</v>
      </c>
      <c r="N37" t="s">
        <v>527</v>
      </c>
      <c r="O37" t="s">
        <v>528</v>
      </c>
      <c r="P37" t="s">
        <v>529</v>
      </c>
      <c r="R37" t="s">
        <v>525</v>
      </c>
      <c r="S37" t="s">
        <v>526</v>
      </c>
      <c r="T37" t="s">
        <v>527</v>
      </c>
      <c r="U37" t="s">
        <v>528</v>
      </c>
      <c r="V37" t="s">
        <v>529</v>
      </c>
    </row>
    <row r="38" spans="1:22">
      <c r="A38" t="s">
        <v>530</v>
      </c>
      <c r="B38" t="s">
        <v>531</v>
      </c>
      <c r="C38" t="s">
        <v>532</v>
      </c>
      <c r="D38" t="s">
        <v>530</v>
      </c>
      <c r="E38" t="s">
        <v>531</v>
      </c>
      <c r="F38" t="s">
        <v>532</v>
      </c>
      <c r="L38" t="s">
        <v>530</v>
      </c>
      <c r="M38" t="s">
        <v>531</v>
      </c>
      <c r="N38" t="s">
        <v>532</v>
      </c>
      <c r="O38" t="s">
        <v>530</v>
      </c>
      <c r="P38" t="s">
        <v>531</v>
      </c>
      <c r="R38" t="s">
        <v>532</v>
      </c>
    </row>
    <row r="39" spans="1:22">
      <c r="A39" s="151">
        <v>0</v>
      </c>
      <c r="B39" s="151">
        <v>2500</v>
      </c>
      <c r="C39" s="152">
        <v>0</v>
      </c>
      <c r="D39" s="30">
        <v>0</v>
      </c>
      <c r="E39" s="151">
        <v>0</v>
      </c>
      <c r="F39" s="151">
        <v>0</v>
      </c>
      <c r="G39" s="151">
        <v>1250</v>
      </c>
      <c r="H39" s="152">
        <v>0</v>
      </c>
      <c r="I39" s="30">
        <v>0</v>
      </c>
      <c r="J39" s="151">
        <v>0</v>
      </c>
      <c r="L39" s="151">
        <f>A39*12</f>
        <v>0</v>
      </c>
      <c r="M39" s="151">
        <f t="shared" ref="M39:P46" si="0">B39*12</f>
        <v>30000</v>
      </c>
      <c r="N39" s="151">
        <f t="shared" si="0"/>
        <v>0</v>
      </c>
      <c r="O39" s="30">
        <v>0</v>
      </c>
      <c r="P39" s="151">
        <f t="shared" si="0"/>
        <v>0</v>
      </c>
      <c r="Q39" s="151"/>
      <c r="R39" s="151">
        <f t="shared" ref="R39:T45" si="1">F39*12</f>
        <v>0</v>
      </c>
      <c r="S39" s="151">
        <f t="shared" si="1"/>
        <v>15000</v>
      </c>
      <c r="T39" s="151">
        <f t="shared" si="1"/>
        <v>0</v>
      </c>
      <c r="U39" s="30">
        <v>0</v>
      </c>
      <c r="V39" s="151">
        <f t="shared" ref="V39:V46" si="2">J39*12</f>
        <v>0</v>
      </c>
    </row>
    <row r="40" spans="1:22">
      <c r="A40" s="151">
        <v>2500</v>
      </c>
      <c r="B40" s="151">
        <v>4488</v>
      </c>
      <c r="C40" s="152">
        <v>0</v>
      </c>
      <c r="D40" s="30">
        <v>0.1</v>
      </c>
      <c r="E40" s="151">
        <v>2500</v>
      </c>
      <c r="F40" s="151">
        <v>1250</v>
      </c>
      <c r="G40" s="151">
        <v>2244</v>
      </c>
      <c r="H40" s="152">
        <v>0</v>
      </c>
      <c r="I40" s="30">
        <v>0.1</v>
      </c>
      <c r="J40" s="151">
        <v>1250</v>
      </c>
      <c r="L40" s="151">
        <f t="shared" ref="L40:L45" si="3">A40*12</f>
        <v>30000</v>
      </c>
      <c r="M40" s="151">
        <f t="shared" si="0"/>
        <v>53856</v>
      </c>
      <c r="N40" s="151">
        <f t="shared" si="0"/>
        <v>0</v>
      </c>
      <c r="O40" s="30">
        <v>0.1</v>
      </c>
      <c r="P40" s="151">
        <f t="shared" si="0"/>
        <v>30000</v>
      </c>
      <c r="Q40" s="151"/>
      <c r="R40" s="151">
        <f t="shared" si="1"/>
        <v>15000</v>
      </c>
      <c r="S40" s="151">
        <f t="shared" si="1"/>
        <v>26928</v>
      </c>
      <c r="T40" s="151">
        <f t="shared" si="1"/>
        <v>0</v>
      </c>
      <c r="U40" s="30">
        <v>0.1</v>
      </c>
      <c r="V40" s="151">
        <f t="shared" si="2"/>
        <v>15000</v>
      </c>
    </row>
    <row r="41" spans="1:22">
      <c r="A41" s="151">
        <v>4488</v>
      </c>
      <c r="B41" s="151">
        <v>10579</v>
      </c>
      <c r="C41" s="152">
        <v>198.8</v>
      </c>
      <c r="D41" s="30">
        <v>0.12</v>
      </c>
      <c r="E41" s="151">
        <v>4488</v>
      </c>
      <c r="F41" s="151">
        <v>2244</v>
      </c>
      <c r="G41" s="151">
        <v>5290</v>
      </c>
      <c r="H41" s="152">
        <v>99.4</v>
      </c>
      <c r="I41" s="30">
        <v>0.12</v>
      </c>
      <c r="J41" s="151">
        <v>2244</v>
      </c>
      <c r="L41" s="151">
        <f t="shared" si="3"/>
        <v>53856</v>
      </c>
      <c r="M41" s="151">
        <f t="shared" si="0"/>
        <v>126948</v>
      </c>
      <c r="N41" s="151">
        <f t="shared" si="0"/>
        <v>2385.6000000000004</v>
      </c>
      <c r="O41" s="30">
        <v>0.12</v>
      </c>
      <c r="P41" s="151">
        <f t="shared" si="0"/>
        <v>53856</v>
      </c>
      <c r="Q41" s="151"/>
      <c r="R41" s="151">
        <f t="shared" si="1"/>
        <v>26928</v>
      </c>
      <c r="S41" s="151">
        <f t="shared" si="1"/>
        <v>63480</v>
      </c>
      <c r="T41" s="151">
        <f t="shared" si="1"/>
        <v>1192.8000000000002</v>
      </c>
      <c r="U41" s="30">
        <v>0.12</v>
      </c>
      <c r="V41" s="151">
        <f t="shared" si="2"/>
        <v>26928</v>
      </c>
    </row>
    <row r="42" spans="1:22">
      <c r="A42" s="151">
        <v>10579</v>
      </c>
      <c r="B42" s="151">
        <v>19725</v>
      </c>
      <c r="C42" s="152">
        <v>929.72</v>
      </c>
      <c r="D42" s="30">
        <v>0.22</v>
      </c>
      <c r="E42" s="151">
        <v>10579</v>
      </c>
      <c r="F42" s="151">
        <v>5290</v>
      </c>
      <c r="G42" s="151">
        <v>9863</v>
      </c>
      <c r="H42" s="152">
        <v>464.92</v>
      </c>
      <c r="I42" s="30">
        <v>0.22</v>
      </c>
      <c r="J42" s="151">
        <v>5290</v>
      </c>
      <c r="L42" s="151">
        <f t="shared" si="3"/>
        <v>126948</v>
      </c>
      <c r="M42" s="151">
        <f t="shared" si="0"/>
        <v>236700</v>
      </c>
      <c r="N42" s="151">
        <f t="shared" si="0"/>
        <v>11156.64</v>
      </c>
      <c r="O42" s="30">
        <v>0.22</v>
      </c>
      <c r="P42" s="151">
        <f t="shared" si="0"/>
        <v>126948</v>
      </c>
      <c r="Q42" s="151"/>
      <c r="R42" s="151">
        <f t="shared" si="1"/>
        <v>63480</v>
      </c>
      <c r="S42" s="151">
        <f t="shared" si="1"/>
        <v>118356</v>
      </c>
      <c r="T42" s="151">
        <f t="shared" si="1"/>
        <v>5579.04</v>
      </c>
      <c r="U42" s="30">
        <v>0.22</v>
      </c>
      <c r="V42" s="151">
        <f t="shared" si="2"/>
        <v>63480</v>
      </c>
    </row>
    <row r="43" spans="1:22">
      <c r="A43" s="151">
        <v>19725</v>
      </c>
      <c r="B43" s="151">
        <v>35383</v>
      </c>
      <c r="C43" s="152">
        <v>2941.84</v>
      </c>
      <c r="D43" s="30">
        <v>0.24</v>
      </c>
      <c r="E43" s="151">
        <v>19725</v>
      </c>
      <c r="F43" s="151">
        <v>9863</v>
      </c>
      <c r="G43" s="151">
        <v>17692</v>
      </c>
      <c r="H43" s="152">
        <v>1470.98</v>
      </c>
      <c r="I43" s="30">
        <v>0.24</v>
      </c>
      <c r="J43" s="151">
        <v>9863</v>
      </c>
      <c r="L43" s="151">
        <f t="shared" si="3"/>
        <v>236700</v>
      </c>
      <c r="M43" s="151">
        <f t="shared" si="0"/>
        <v>424596</v>
      </c>
      <c r="N43" s="151">
        <f t="shared" si="0"/>
        <v>35302.080000000002</v>
      </c>
      <c r="O43" s="30">
        <v>0.24</v>
      </c>
      <c r="P43" s="151">
        <f t="shared" si="0"/>
        <v>236700</v>
      </c>
      <c r="Q43" s="151"/>
      <c r="R43" s="151">
        <f t="shared" si="1"/>
        <v>118356</v>
      </c>
      <c r="S43" s="151">
        <f t="shared" si="1"/>
        <v>212304</v>
      </c>
      <c r="T43" s="151">
        <f t="shared" si="1"/>
        <v>17651.760000000002</v>
      </c>
      <c r="U43" s="30">
        <v>0.24</v>
      </c>
      <c r="V43" s="151">
        <f t="shared" si="2"/>
        <v>118356</v>
      </c>
    </row>
    <row r="44" spans="1:22">
      <c r="A44" s="151">
        <v>35383</v>
      </c>
      <c r="B44" s="151">
        <v>44254</v>
      </c>
      <c r="C44" s="152">
        <v>6699.76</v>
      </c>
      <c r="D44" s="30">
        <v>0.32</v>
      </c>
      <c r="E44" s="151">
        <v>35383</v>
      </c>
      <c r="F44" s="151">
        <v>17692</v>
      </c>
      <c r="G44" s="151">
        <v>22127</v>
      </c>
      <c r="H44" s="152">
        <v>3349.94</v>
      </c>
      <c r="I44" s="30">
        <v>0.32</v>
      </c>
      <c r="J44" s="151">
        <v>17692</v>
      </c>
      <c r="L44" s="151">
        <f t="shared" si="3"/>
        <v>424596</v>
      </c>
      <c r="M44" s="151">
        <f t="shared" si="0"/>
        <v>531048</v>
      </c>
      <c r="N44" s="151">
        <f t="shared" si="0"/>
        <v>80397.119999999995</v>
      </c>
      <c r="O44" s="30">
        <v>0.32</v>
      </c>
      <c r="P44" s="151">
        <f t="shared" si="0"/>
        <v>424596</v>
      </c>
      <c r="Q44" s="151"/>
      <c r="R44" s="151">
        <f t="shared" si="1"/>
        <v>212304</v>
      </c>
      <c r="S44" s="151">
        <f t="shared" si="1"/>
        <v>265524</v>
      </c>
      <c r="T44" s="151">
        <f t="shared" si="1"/>
        <v>40199.279999999999</v>
      </c>
      <c r="U44" s="30">
        <v>0.32</v>
      </c>
      <c r="V44" s="151">
        <f t="shared" si="2"/>
        <v>212304</v>
      </c>
    </row>
    <row r="45" spans="1:22">
      <c r="A45" s="151">
        <v>44254</v>
      </c>
      <c r="B45" s="151">
        <v>65133</v>
      </c>
      <c r="C45" s="152">
        <v>9538.48</v>
      </c>
      <c r="D45" s="30">
        <v>0.35</v>
      </c>
      <c r="E45" s="151">
        <v>44254</v>
      </c>
      <c r="F45" s="151">
        <v>22127</v>
      </c>
      <c r="G45" s="151">
        <v>32567</v>
      </c>
      <c r="H45" s="152">
        <v>4769.1400000000003</v>
      </c>
      <c r="I45" s="30">
        <v>0.35</v>
      </c>
      <c r="J45" s="151">
        <v>22127</v>
      </c>
      <c r="L45" s="151">
        <f t="shared" si="3"/>
        <v>531048</v>
      </c>
      <c r="M45" s="151">
        <f t="shared" si="0"/>
        <v>781596</v>
      </c>
      <c r="N45" s="151">
        <f t="shared" si="0"/>
        <v>114461.75999999999</v>
      </c>
      <c r="O45" s="30">
        <v>0.35</v>
      </c>
      <c r="P45" s="151">
        <f t="shared" si="0"/>
        <v>531048</v>
      </c>
      <c r="Q45" s="151"/>
      <c r="R45" s="151">
        <f t="shared" si="1"/>
        <v>265524</v>
      </c>
      <c r="S45" s="151">
        <f t="shared" si="1"/>
        <v>390804</v>
      </c>
      <c r="T45" s="151">
        <f t="shared" si="1"/>
        <v>57229.680000000008</v>
      </c>
      <c r="U45" s="30">
        <v>0.35</v>
      </c>
      <c r="V45" s="151">
        <f t="shared" si="2"/>
        <v>265524</v>
      </c>
    </row>
    <row r="46" spans="1:22">
      <c r="A46" s="151">
        <v>65133</v>
      </c>
      <c r="C46" s="152">
        <v>16846.13</v>
      </c>
      <c r="D46" s="30">
        <v>0.37</v>
      </c>
      <c r="E46" s="151">
        <v>65133</v>
      </c>
      <c r="F46" s="151">
        <v>32567</v>
      </c>
      <c r="H46" s="152">
        <v>8423.14</v>
      </c>
      <c r="I46" s="30">
        <v>0.37</v>
      </c>
      <c r="J46" s="151">
        <v>32567</v>
      </c>
      <c r="L46" s="151">
        <f>A46*12</f>
        <v>781596</v>
      </c>
      <c r="M46" s="151" t="s">
        <v>24</v>
      </c>
      <c r="N46" s="151">
        <f t="shared" si="0"/>
        <v>202153.56</v>
      </c>
      <c r="O46" s="30">
        <v>0.37</v>
      </c>
      <c r="P46" s="151">
        <f t="shared" si="0"/>
        <v>781596</v>
      </c>
      <c r="Q46" s="151"/>
      <c r="R46" s="151">
        <f>F46*12</f>
        <v>390804</v>
      </c>
      <c r="S46" s="151"/>
      <c r="T46" s="151">
        <f>H46*12</f>
        <v>101077.68</v>
      </c>
      <c r="U46" s="30">
        <f>I46*12</f>
        <v>4.4399999999999995</v>
      </c>
      <c r="V46" s="151">
        <f t="shared" si="2"/>
        <v>390804</v>
      </c>
    </row>
    <row r="47" spans="1:22">
      <c r="A47" t="s">
        <v>533</v>
      </c>
      <c r="B47" t="s">
        <v>484</v>
      </c>
      <c r="C47" t="s">
        <v>530</v>
      </c>
      <c r="D47" t="s">
        <v>531</v>
      </c>
      <c r="E47" t="s">
        <v>534</v>
      </c>
      <c r="F47" t="s">
        <v>533</v>
      </c>
      <c r="G47" t="s">
        <v>484</v>
      </c>
      <c r="H47" t="s">
        <v>530</v>
      </c>
      <c r="I47" t="s">
        <v>531</v>
      </c>
      <c r="J47" t="s">
        <v>534</v>
      </c>
      <c r="L47" t="s">
        <v>533</v>
      </c>
      <c r="M47" t="s">
        <v>484</v>
      </c>
      <c r="N47" t="s">
        <v>530</v>
      </c>
      <c r="O47" t="s">
        <v>531</v>
      </c>
      <c r="P47" t="s">
        <v>534</v>
      </c>
      <c r="Q47" t="s">
        <v>533</v>
      </c>
      <c r="R47" t="s">
        <v>484</v>
      </c>
      <c r="S47" t="s">
        <v>530</v>
      </c>
      <c r="T47" t="s">
        <v>531</v>
      </c>
      <c r="U47" t="s">
        <v>534</v>
      </c>
    </row>
    <row r="48" spans="1:22">
      <c r="A48" s="151">
        <v>0</v>
      </c>
      <c r="B48" s="151">
        <v>1250</v>
      </c>
      <c r="C48" s="152">
        <v>0</v>
      </c>
      <c r="D48" s="30">
        <v>0</v>
      </c>
      <c r="E48" s="151">
        <v>0</v>
      </c>
      <c r="F48" s="151">
        <v>0</v>
      </c>
      <c r="G48" s="151">
        <v>625</v>
      </c>
      <c r="H48" s="152">
        <v>0</v>
      </c>
      <c r="I48" s="30">
        <v>0</v>
      </c>
      <c r="J48" s="151">
        <v>0</v>
      </c>
      <c r="L48" s="151">
        <f>A48*12</f>
        <v>0</v>
      </c>
      <c r="M48" s="151">
        <f t="shared" ref="M48:M54" si="4">B48*12</f>
        <v>15000</v>
      </c>
      <c r="N48" s="151">
        <f t="shared" ref="N48:N55" si="5">C48*12</f>
        <v>0</v>
      </c>
      <c r="O48" s="30">
        <v>0</v>
      </c>
      <c r="P48" s="151">
        <f t="shared" ref="P48:P55" si="6">E48*12</f>
        <v>0</v>
      </c>
      <c r="Q48" s="151"/>
      <c r="R48" s="151">
        <f t="shared" ref="R48:R55" si="7">F48*12</f>
        <v>0</v>
      </c>
      <c r="S48" s="151">
        <f t="shared" ref="S48:S54" si="8">G48*12</f>
        <v>7500</v>
      </c>
      <c r="T48" s="151">
        <f t="shared" ref="T48:T55" si="9">H48*12</f>
        <v>0</v>
      </c>
      <c r="U48" s="30">
        <v>0</v>
      </c>
      <c r="V48" s="151">
        <f t="shared" ref="V48:V55" si="10">J48*12</f>
        <v>0</v>
      </c>
    </row>
    <row r="49" spans="1:22">
      <c r="A49" s="151">
        <v>1250</v>
      </c>
      <c r="B49" s="151">
        <v>2244</v>
      </c>
      <c r="C49" s="152">
        <v>0</v>
      </c>
      <c r="D49" s="30">
        <v>0.1</v>
      </c>
      <c r="E49" s="151">
        <v>1250</v>
      </c>
      <c r="F49" s="151">
        <v>625</v>
      </c>
      <c r="G49" s="151">
        <v>1122</v>
      </c>
      <c r="H49" s="152">
        <v>0</v>
      </c>
      <c r="I49" s="30">
        <v>0.1</v>
      </c>
      <c r="J49" s="151">
        <v>625</v>
      </c>
      <c r="L49" s="151">
        <f t="shared" ref="L49:L55" si="11">A49*12</f>
        <v>15000</v>
      </c>
      <c r="M49" s="151">
        <f t="shared" si="4"/>
        <v>26928</v>
      </c>
      <c r="N49" s="151">
        <f t="shared" si="5"/>
        <v>0</v>
      </c>
      <c r="O49" s="30">
        <v>0.1</v>
      </c>
      <c r="P49" s="151">
        <f t="shared" si="6"/>
        <v>15000</v>
      </c>
      <c r="Q49" s="151"/>
      <c r="R49" s="151">
        <f t="shared" si="7"/>
        <v>7500</v>
      </c>
      <c r="S49" s="151">
        <f t="shared" si="8"/>
        <v>13464</v>
      </c>
      <c r="T49" s="151">
        <f t="shared" si="9"/>
        <v>0</v>
      </c>
      <c r="U49" s="30">
        <v>0.1</v>
      </c>
      <c r="V49" s="151">
        <f t="shared" si="10"/>
        <v>7500</v>
      </c>
    </row>
    <row r="50" spans="1:22">
      <c r="A50" s="151">
        <v>2244</v>
      </c>
      <c r="B50" s="151">
        <v>5290</v>
      </c>
      <c r="C50" s="152">
        <v>99.4</v>
      </c>
      <c r="D50" s="30">
        <v>0.12</v>
      </c>
      <c r="E50" s="151">
        <v>2244</v>
      </c>
      <c r="F50" s="151">
        <v>1122</v>
      </c>
      <c r="G50" s="151">
        <v>2645</v>
      </c>
      <c r="H50" s="152">
        <v>49.7</v>
      </c>
      <c r="I50" s="30">
        <v>0.12</v>
      </c>
      <c r="J50" s="151">
        <v>1122</v>
      </c>
      <c r="L50" s="151">
        <f t="shared" si="11"/>
        <v>26928</v>
      </c>
      <c r="M50" s="151">
        <f t="shared" si="4"/>
        <v>63480</v>
      </c>
      <c r="N50" s="151">
        <f t="shared" si="5"/>
        <v>1192.8000000000002</v>
      </c>
      <c r="O50" s="30">
        <v>0.12</v>
      </c>
      <c r="P50" s="151">
        <f t="shared" si="6"/>
        <v>26928</v>
      </c>
      <c r="Q50" s="151"/>
      <c r="R50" s="151">
        <f t="shared" si="7"/>
        <v>13464</v>
      </c>
      <c r="S50" s="151">
        <f t="shared" si="8"/>
        <v>31740</v>
      </c>
      <c r="T50" s="151">
        <f t="shared" si="9"/>
        <v>596.40000000000009</v>
      </c>
      <c r="U50" s="30">
        <v>0.12</v>
      </c>
      <c r="V50" s="151">
        <f t="shared" si="10"/>
        <v>13464</v>
      </c>
    </row>
    <row r="51" spans="1:22">
      <c r="A51" s="151">
        <v>5290</v>
      </c>
      <c r="B51" s="151">
        <v>9863</v>
      </c>
      <c r="C51" s="152">
        <v>464.92</v>
      </c>
      <c r="D51" s="30">
        <v>0.22</v>
      </c>
      <c r="E51" s="151">
        <v>5290</v>
      </c>
      <c r="F51" s="151">
        <v>2645</v>
      </c>
      <c r="G51" s="151">
        <v>4931</v>
      </c>
      <c r="H51" s="152">
        <v>232.46</v>
      </c>
      <c r="I51" s="30">
        <v>0.22</v>
      </c>
      <c r="J51" s="151">
        <v>2645</v>
      </c>
      <c r="L51" s="151">
        <f t="shared" si="11"/>
        <v>63480</v>
      </c>
      <c r="M51" s="151">
        <f t="shared" si="4"/>
        <v>118356</v>
      </c>
      <c r="N51" s="151">
        <f t="shared" si="5"/>
        <v>5579.04</v>
      </c>
      <c r="O51" s="30">
        <v>0.22</v>
      </c>
      <c r="P51" s="151">
        <f t="shared" si="6"/>
        <v>63480</v>
      </c>
      <c r="Q51" s="151"/>
      <c r="R51" s="151">
        <f t="shared" si="7"/>
        <v>31740</v>
      </c>
      <c r="S51" s="151">
        <f t="shared" si="8"/>
        <v>59172</v>
      </c>
      <c r="T51" s="151">
        <f t="shared" si="9"/>
        <v>2789.52</v>
      </c>
      <c r="U51" s="30">
        <v>0.22</v>
      </c>
      <c r="V51" s="151">
        <f t="shared" si="10"/>
        <v>31740</v>
      </c>
    </row>
    <row r="52" spans="1:22">
      <c r="A52" s="151">
        <v>9863</v>
      </c>
      <c r="B52" s="151">
        <v>17692</v>
      </c>
      <c r="C52" s="152">
        <v>1470.98</v>
      </c>
      <c r="D52" s="30">
        <v>0.24</v>
      </c>
      <c r="E52" s="151">
        <v>9863</v>
      </c>
      <c r="F52" s="151">
        <v>4931</v>
      </c>
      <c r="G52" s="151">
        <v>8846</v>
      </c>
      <c r="H52" s="152">
        <v>735.38</v>
      </c>
      <c r="I52" s="30">
        <v>0.24</v>
      </c>
      <c r="J52" s="151">
        <v>4931</v>
      </c>
      <c r="L52" s="151">
        <f t="shared" si="11"/>
        <v>118356</v>
      </c>
      <c r="M52" s="151">
        <f t="shared" si="4"/>
        <v>212304</v>
      </c>
      <c r="N52" s="151">
        <f t="shared" si="5"/>
        <v>17651.760000000002</v>
      </c>
      <c r="O52" s="30">
        <v>0.24</v>
      </c>
      <c r="P52" s="151">
        <f t="shared" si="6"/>
        <v>118356</v>
      </c>
      <c r="Q52" s="151"/>
      <c r="R52" s="151">
        <f t="shared" si="7"/>
        <v>59172</v>
      </c>
      <c r="S52" s="151">
        <f t="shared" si="8"/>
        <v>106152</v>
      </c>
      <c r="T52" s="151">
        <f t="shared" si="9"/>
        <v>8824.56</v>
      </c>
      <c r="U52" s="30">
        <v>0.24</v>
      </c>
      <c r="V52" s="151">
        <f t="shared" si="10"/>
        <v>59172</v>
      </c>
    </row>
    <row r="53" spans="1:22">
      <c r="A53" s="151">
        <v>17692</v>
      </c>
      <c r="B53" s="151">
        <v>22127</v>
      </c>
      <c r="C53" s="152">
        <v>3349.94</v>
      </c>
      <c r="D53" s="30">
        <v>0.32</v>
      </c>
      <c r="E53" s="151">
        <v>17692</v>
      </c>
      <c r="F53" s="151">
        <v>8846</v>
      </c>
      <c r="G53" s="151">
        <v>11064</v>
      </c>
      <c r="H53" s="152">
        <v>1674.98</v>
      </c>
      <c r="I53" s="30">
        <v>0.32</v>
      </c>
      <c r="J53" s="151">
        <v>8846</v>
      </c>
      <c r="L53" s="151">
        <f t="shared" si="11"/>
        <v>212304</v>
      </c>
      <c r="M53" s="151">
        <f t="shared" si="4"/>
        <v>265524</v>
      </c>
      <c r="N53" s="151">
        <f t="shared" si="5"/>
        <v>40199.279999999999</v>
      </c>
      <c r="O53" s="30">
        <v>0.32</v>
      </c>
      <c r="P53" s="151">
        <f t="shared" si="6"/>
        <v>212304</v>
      </c>
      <c r="Q53" s="151"/>
      <c r="R53" s="151">
        <f t="shared" si="7"/>
        <v>106152</v>
      </c>
      <c r="S53" s="151">
        <f t="shared" si="8"/>
        <v>132768</v>
      </c>
      <c r="T53" s="151">
        <f t="shared" si="9"/>
        <v>20099.760000000002</v>
      </c>
      <c r="U53" s="30">
        <v>0.32</v>
      </c>
      <c r="V53" s="151">
        <f t="shared" si="10"/>
        <v>106152</v>
      </c>
    </row>
    <row r="54" spans="1:22">
      <c r="A54" s="151">
        <v>22127</v>
      </c>
      <c r="B54" s="151">
        <v>53446</v>
      </c>
      <c r="C54" s="152">
        <v>4769.1400000000003</v>
      </c>
      <c r="D54" s="30">
        <v>0.35</v>
      </c>
      <c r="E54" s="151">
        <v>22127</v>
      </c>
      <c r="F54" s="151">
        <v>11064</v>
      </c>
      <c r="G54" s="151">
        <v>26723</v>
      </c>
      <c r="H54" s="152">
        <v>2384.7399999999998</v>
      </c>
      <c r="I54" s="30">
        <v>0.35</v>
      </c>
      <c r="J54" s="151">
        <v>11064</v>
      </c>
      <c r="L54" s="151">
        <f t="shared" si="11"/>
        <v>265524</v>
      </c>
      <c r="M54" s="151">
        <f t="shared" si="4"/>
        <v>641352</v>
      </c>
      <c r="N54" s="151">
        <f t="shared" si="5"/>
        <v>57229.680000000008</v>
      </c>
      <c r="O54" s="30">
        <v>0.35</v>
      </c>
      <c r="P54" s="151">
        <f t="shared" si="6"/>
        <v>265524</v>
      </c>
      <c r="Q54" s="151"/>
      <c r="R54" s="151">
        <f t="shared" si="7"/>
        <v>132768</v>
      </c>
      <c r="S54" s="151">
        <f t="shared" si="8"/>
        <v>320676</v>
      </c>
      <c r="T54" s="151">
        <f t="shared" si="9"/>
        <v>28616.879999999997</v>
      </c>
      <c r="U54" s="30">
        <v>0.35</v>
      </c>
      <c r="V54" s="151">
        <f t="shared" si="10"/>
        <v>132768</v>
      </c>
    </row>
    <row r="55" spans="1:22">
      <c r="A55" s="151">
        <v>53446</v>
      </c>
      <c r="C55" s="152">
        <v>15730.79</v>
      </c>
      <c r="D55" s="30">
        <v>0.37</v>
      </c>
      <c r="E55" s="151">
        <v>53446</v>
      </c>
      <c r="F55" s="151">
        <v>26723</v>
      </c>
      <c r="H55" s="152">
        <v>7865.39</v>
      </c>
      <c r="I55" s="30">
        <v>0.37</v>
      </c>
      <c r="J55" s="151">
        <v>26723</v>
      </c>
      <c r="L55" s="151">
        <f t="shared" si="11"/>
        <v>641352</v>
      </c>
      <c r="M55" s="151" t="s">
        <v>24</v>
      </c>
      <c r="N55" s="151">
        <f t="shared" si="5"/>
        <v>188769.48</v>
      </c>
      <c r="O55" s="30">
        <v>0.37</v>
      </c>
      <c r="P55" s="151">
        <f t="shared" si="6"/>
        <v>641352</v>
      </c>
      <c r="Q55" s="151"/>
      <c r="R55" s="151">
        <f t="shared" si="7"/>
        <v>320676</v>
      </c>
      <c r="S55" s="151"/>
      <c r="T55" s="151">
        <f t="shared" si="9"/>
        <v>94384.680000000008</v>
      </c>
      <c r="U55" s="30">
        <v>0.37</v>
      </c>
      <c r="V55" s="151">
        <f t="shared" si="10"/>
        <v>320676</v>
      </c>
    </row>
    <row r="56" spans="1:22">
      <c r="A56" t="s">
        <v>535</v>
      </c>
      <c r="B56" t="s">
        <v>498</v>
      </c>
      <c r="C56" t="s">
        <v>536</v>
      </c>
      <c r="D56" t="s">
        <v>535</v>
      </c>
      <c r="E56" t="s">
        <v>498</v>
      </c>
      <c r="F56" t="s">
        <v>536</v>
      </c>
      <c r="L56" t="s">
        <v>535</v>
      </c>
      <c r="M56" t="s">
        <v>498</v>
      </c>
      <c r="N56" t="s">
        <v>536</v>
      </c>
      <c r="O56" t="s">
        <v>535</v>
      </c>
      <c r="P56" t="s">
        <v>498</v>
      </c>
      <c r="Q56" t="s">
        <v>536</v>
      </c>
    </row>
    <row r="57" spans="1:22">
      <c r="A57" s="151">
        <v>0</v>
      </c>
      <c r="B57" s="151">
        <v>1875</v>
      </c>
      <c r="C57" s="152">
        <v>0</v>
      </c>
      <c r="D57" s="30">
        <v>0</v>
      </c>
      <c r="E57" s="151">
        <v>0</v>
      </c>
      <c r="F57" s="151">
        <v>0</v>
      </c>
      <c r="G57" s="151">
        <v>938</v>
      </c>
      <c r="H57" s="152">
        <v>0</v>
      </c>
      <c r="I57" s="30">
        <v>0</v>
      </c>
      <c r="J57" s="151">
        <v>0</v>
      </c>
      <c r="L57" s="151">
        <f>A57*12</f>
        <v>0</v>
      </c>
      <c r="M57" s="151">
        <f t="shared" ref="M57:M63" si="12">B57*12</f>
        <v>22500</v>
      </c>
      <c r="N57" s="151">
        <f t="shared" ref="N57:N64" si="13">C57*12</f>
        <v>0</v>
      </c>
      <c r="O57" s="30">
        <v>0</v>
      </c>
      <c r="P57" s="151">
        <f t="shared" ref="P57:P64" si="14">E57*12</f>
        <v>0</v>
      </c>
      <c r="Q57" s="151"/>
      <c r="R57" s="151">
        <f t="shared" ref="R57:R64" si="15">F57*12</f>
        <v>0</v>
      </c>
      <c r="S57" s="151">
        <f t="shared" ref="S57:S63" si="16">G57*12</f>
        <v>11256</v>
      </c>
      <c r="T57" s="151">
        <f t="shared" ref="T57:T64" si="17">H57*12</f>
        <v>0</v>
      </c>
      <c r="U57" s="30">
        <v>0</v>
      </c>
      <c r="V57" s="151">
        <f t="shared" ref="V57:V64" si="18">J57*12</f>
        <v>0</v>
      </c>
    </row>
    <row r="58" spans="1:22">
      <c r="A58" s="151">
        <v>1875</v>
      </c>
      <c r="B58" s="151">
        <v>3292</v>
      </c>
      <c r="C58" s="152">
        <v>0</v>
      </c>
      <c r="D58" s="30">
        <v>0.1</v>
      </c>
      <c r="E58" s="151">
        <v>1875</v>
      </c>
      <c r="F58" s="151">
        <v>938</v>
      </c>
      <c r="G58" s="151">
        <v>1646</v>
      </c>
      <c r="H58" s="152">
        <v>0</v>
      </c>
      <c r="I58" s="30">
        <v>0.1</v>
      </c>
      <c r="J58" s="151">
        <v>938</v>
      </c>
      <c r="L58" s="151">
        <f t="shared" ref="L58:L64" si="19">A58*12</f>
        <v>22500</v>
      </c>
      <c r="M58" s="151">
        <f t="shared" si="12"/>
        <v>39504</v>
      </c>
      <c r="N58" s="151">
        <f t="shared" si="13"/>
        <v>0</v>
      </c>
      <c r="O58" s="30">
        <v>0.1</v>
      </c>
      <c r="P58" s="151">
        <f t="shared" si="14"/>
        <v>22500</v>
      </c>
      <c r="Q58" s="151"/>
      <c r="R58" s="151">
        <f t="shared" si="15"/>
        <v>11256</v>
      </c>
      <c r="S58" s="151">
        <f t="shared" si="16"/>
        <v>19752</v>
      </c>
      <c r="T58" s="151">
        <f t="shared" si="17"/>
        <v>0</v>
      </c>
      <c r="U58" s="30">
        <v>0.1</v>
      </c>
      <c r="V58" s="151">
        <f t="shared" si="18"/>
        <v>11256</v>
      </c>
    </row>
    <row r="59" spans="1:22">
      <c r="A59" s="151">
        <v>3292</v>
      </c>
      <c r="B59" s="151">
        <v>7279</v>
      </c>
      <c r="C59" s="152">
        <v>141.69999999999999</v>
      </c>
      <c r="D59" s="30">
        <v>0.12</v>
      </c>
      <c r="E59" s="151">
        <v>3292</v>
      </c>
      <c r="F59" s="151">
        <v>1646</v>
      </c>
      <c r="G59" s="151">
        <v>3640</v>
      </c>
      <c r="H59" s="152">
        <v>70.8</v>
      </c>
      <c r="I59" s="30">
        <v>0.12</v>
      </c>
      <c r="J59" s="151">
        <v>1646</v>
      </c>
      <c r="L59" s="151">
        <f t="shared" si="19"/>
        <v>39504</v>
      </c>
      <c r="M59" s="151">
        <f t="shared" si="12"/>
        <v>87348</v>
      </c>
      <c r="N59" s="151">
        <f t="shared" si="13"/>
        <v>1700.3999999999999</v>
      </c>
      <c r="O59" s="30">
        <v>0.12</v>
      </c>
      <c r="P59" s="151">
        <f t="shared" si="14"/>
        <v>39504</v>
      </c>
      <c r="Q59" s="151"/>
      <c r="R59" s="151">
        <f t="shared" si="15"/>
        <v>19752</v>
      </c>
      <c r="S59" s="151">
        <f t="shared" si="16"/>
        <v>43680</v>
      </c>
      <c r="T59" s="151">
        <f t="shared" si="17"/>
        <v>849.59999999999991</v>
      </c>
      <c r="U59" s="30">
        <v>0.12</v>
      </c>
      <c r="V59" s="151">
        <f t="shared" si="18"/>
        <v>19752</v>
      </c>
    </row>
    <row r="60" spans="1:22">
      <c r="A60" s="151">
        <v>7279</v>
      </c>
      <c r="B60" s="151">
        <v>10488</v>
      </c>
      <c r="C60" s="152">
        <v>620.14</v>
      </c>
      <c r="D60" s="30">
        <v>0.22</v>
      </c>
      <c r="E60" s="151">
        <v>7279</v>
      </c>
      <c r="F60" s="151">
        <v>3640</v>
      </c>
      <c r="G60" s="151">
        <v>5244</v>
      </c>
      <c r="H60" s="152">
        <v>310.08</v>
      </c>
      <c r="I60" s="30">
        <v>0.22</v>
      </c>
      <c r="J60" s="151">
        <v>3640</v>
      </c>
      <c r="L60" s="151">
        <f t="shared" si="19"/>
        <v>87348</v>
      </c>
      <c r="M60" s="151">
        <f t="shared" si="12"/>
        <v>125856</v>
      </c>
      <c r="N60" s="151">
        <f t="shared" si="13"/>
        <v>7441.68</v>
      </c>
      <c r="O60" s="30">
        <v>0.22</v>
      </c>
      <c r="P60" s="151">
        <f t="shared" si="14"/>
        <v>87348</v>
      </c>
      <c r="Q60" s="151"/>
      <c r="R60" s="151">
        <f t="shared" si="15"/>
        <v>43680</v>
      </c>
      <c r="S60" s="151">
        <f t="shared" si="16"/>
        <v>62928</v>
      </c>
      <c r="T60" s="151">
        <f t="shared" si="17"/>
        <v>3720.96</v>
      </c>
      <c r="U60" s="30">
        <v>0.22</v>
      </c>
      <c r="V60" s="151">
        <f t="shared" si="18"/>
        <v>43680</v>
      </c>
    </row>
    <row r="61" spans="1:22">
      <c r="A61" s="151">
        <v>10488</v>
      </c>
      <c r="B61" s="151">
        <v>18317</v>
      </c>
      <c r="C61" s="152">
        <v>1326.12</v>
      </c>
      <c r="D61" s="30">
        <v>0.24</v>
      </c>
      <c r="E61" s="151">
        <v>10488</v>
      </c>
      <c r="F61" s="151">
        <v>5244</v>
      </c>
      <c r="G61" s="151">
        <v>9158</v>
      </c>
      <c r="H61" s="152">
        <v>662.96</v>
      </c>
      <c r="I61" s="30">
        <v>0.24</v>
      </c>
      <c r="J61" s="151">
        <v>5244</v>
      </c>
      <c r="L61" s="151">
        <f t="shared" si="19"/>
        <v>125856</v>
      </c>
      <c r="M61" s="151">
        <f t="shared" si="12"/>
        <v>219804</v>
      </c>
      <c r="N61" s="151">
        <f t="shared" si="13"/>
        <v>15913.439999999999</v>
      </c>
      <c r="O61" s="30">
        <v>0.24</v>
      </c>
      <c r="P61" s="151">
        <f t="shared" si="14"/>
        <v>125856</v>
      </c>
      <c r="Q61" s="151"/>
      <c r="R61" s="151">
        <f t="shared" si="15"/>
        <v>62928</v>
      </c>
      <c r="S61" s="151">
        <f t="shared" si="16"/>
        <v>109896</v>
      </c>
      <c r="T61" s="151">
        <f t="shared" si="17"/>
        <v>7955.52</v>
      </c>
      <c r="U61" s="30">
        <v>0.24</v>
      </c>
      <c r="V61" s="151">
        <f t="shared" si="18"/>
        <v>62928</v>
      </c>
    </row>
    <row r="62" spans="1:22">
      <c r="A62" s="151">
        <v>18317</v>
      </c>
      <c r="B62" s="151">
        <v>22750</v>
      </c>
      <c r="C62" s="152">
        <v>3205.08</v>
      </c>
      <c r="D62" s="30">
        <v>0.32</v>
      </c>
      <c r="E62" s="151">
        <v>18317</v>
      </c>
      <c r="F62" s="151">
        <v>9158</v>
      </c>
      <c r="G62" s="151">
        <v>11375</v>
      </c>
      <c r="H62" s="152">
        <v>1602.32</v>
      </c>
      <c r="I62" s="30">
        <v>0.32</v>
      </c>
      <c r="J62" s="151">
        <v>9158</v>
      </c>
      <c r="L62" s="151">
        <f t="shared" si="19"/>
        <v>219804</v>
      </c>
      <c r="M62" s="151">
        <f t="shared" si="12"/>
        <v>273000</v>
      </c>
      <c r="N62" s="151">
        <f t="shared" si="13"/>
        <v>38460.959999999999</v>
      </c>
      <c r="O62" s="30">
        <v>0.32</v>
      </c>
      <c r="P62" s="151">
        <f t="shared" si="14"/>
        <v>219804</v>
      </c>
      <c r="Q62" s="151"/>
      <c r="R62" s="151">
        <f t="shared" si="15"/>
        <v>109896</v>
      </c>
      <c r="S62" s="151">
        <f t="shared" si="16"/>
        <v>136500</v>
      </c>
      <c r="T62" s="151">
        <f t="shared" si="17"/>
        <v>19227.84</v>
      </c>
      <c r="U62" s="30">
        <v>0.32</v>
      </c>
      <c r="V62" s="151">
        <f t="shared" si="18"/>
        <v>109896</v>
      </c>
    </row>
    <row r="63" spans="1:22">
      <c r="A63" s="151">
        <v>22750</v>
      </c>
      <c r="B63" s="151">
        <v>54071</v>
      </c>
      <c r="C63" s="152">
        <v>4623.6400000000003</v>
      </c>
      <c r="D63" s="30">
        <v>0.35</v>
      </c>
      <c r="E63" s="151">
        <v>22750</v>
      </c>
      <c r="F63" s="151">
        <v>11375</v>
      </c>
      <c r="G63" s="151">
        <v>27035</v>
      </c>
      <c r="H63" s="152">
        <v>2311.7600000000002</v>
      </c>
      <c r="I63" s="30">
        <v>0.35</v>
      </c>
      <c r="J63" s="151">
        <v>11375</v>
      </c>
      <c r="L63" s="151">
        <f t="shared" si="19"/>
        <v>273000</v>
      </c>
      <c r="M63" s="151">
        <f t="shared" si="12"/>
        <v>648852</v>
      </c>
      <c r="N63" s="151">
        <f t="shared" si="13"/>
        <v>55483.680000000008</v>
      </c>
      <c r="O63" s="30">
        <v>0.35</v>
      </c>
      <c r="P63" s="151">
        <f t="shared" si="14"/>
        <v>273000</v>
      </c>
      <c r="Q63" s="151"/>
      <c r="R63" s="151">
        <f t="shared" si="15"/>
        <v>136500</v>
      </c>
      <c r="S63" s="151">
        <f t="shared" si="16"/>
        <v>324420</v>
      </c>
      <c r="T63" s="151">
        <f t="shared" si="17"/>
        <v>27741.120000000003</v>
      </c>
      <c r="U63" s="30">
        <v>0.35</v>
      </c>
      <c r="V63" s="151">
        <f t="shared" si="18"/>
        <v>136500</v>
      </c>
    </row>
    <row r="64" spans="1:22">
      <c r="A64" s="151">
        <v>54071</v>
      </c>
      <c r="C64" s="152">
        <v>15585.99</v>
      </c>
      <c r="D64" s="30">
        <v>0.37</v>
      </c>
      <c r="E64" s="151">
        <v>54071</v>
      </c>
      <c r="F64" s="151">
        <v>27035</v>
      </c>
      <c r="H64" s="152">
        <v>7792.76</v>
      </c>
      <c r="I64" s="30">
        <v>0.37</v>
      </c>
      <c r="J64" s="151">
        <v>27035</v>
      </c>
      <c r="L64" s="151">
        <f t="shared" si="19"/>
        <v>648852</v>
      </c>
      <c r="M64" s="151"/>
      <c r="N64" s="151">
        <f t="shared" si="13"/>
        <v>187031.88</v>
      </c>
      <c r="O64" s="30">
        <v>0.37</v>
      </c>
      <c r="P64" s="151">
        <f t="shared" si="14"/>
        <v>648852</v>
      </c>
      <c r="Q64" s="151"/>
      <c r="R64" s="151">
        <f t="shared" si="15"/>
        <v>324420</v>
      </c>
      <c r="S64" s="151" t="s">
        <v>24</v>
      </c>
      <c r="T64" s="151">
        <f t="shared" si="17"/>
        <v>93513.12</v>
      </c>
      <c r="U64" s="30">
        <v>0.37</v>
      </c>
      <c r="V64" s="151">
        <f t="shared" si="18"/>
        <v>324420</v>
      </c>
    </row>
    <row r="65" spans="15:15">
      <c r="O65" s="30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V41"/>
  <sheetViews>
    <sheetView topLeftCell="A10" workbookViewId="0">
      <selection activeCell="T38" sqref="T38"/>
    </sheetView>
  </sheetViews>
  <sheetFormatPr defaultRowHeight="15"/>
  <cols>
    <col min="1" max="1" width="6.85546875" customWidth="1"/>
    <col min="2" max="2" width="16.7109375" customWidth="1"/>
    <col min="4" max="4" width="11.7109375" customWidth="1"/>
    <col min="5" max="5" width="10.5703125" bestFit="1" customWidth="1"/>
    <col min="7" max="7" width="11.5703125" bestFit="1" customWidth="1"/>
    <col min="8" max="8" width="11" bestFit="1" customWidth="1"/>
    <col min="11" max="11" width="14.28515625" customWidth="1"/>
    <col min="12" max="12" width="11.5703125" bestFit="1" customWidth="1"/>
  </cols>
  <sheetData>
    <row r="1" spans="1:22">
      <c r="A1" t="s">
        <v>50</v>
      </c>
      <c r="C1" t="s">
        <v>52</v>
      </c>
      <c r="D1">
        <f>'1040 W4 PLANNER 2026'!Q8</f>
        <v>1</v>
      </c>
      <c r="G1" s="74" t="s">
        <v>24</v>
      </c>
      <c r="K1" s="104" t="s">
        <v>249</v>
      </c>
      <c r="L1" s="105"/>
      <c r="M1" s="105" t="s">
        <v>386</v>
      </c>
      <c r="N1" s="105"/>
      <c r="O1" s="105"/>
      <c r="P1" s="105"/>
      <c r="Q1" s="105"/>
      <c r="R1" s="106"/>
      <c r="S1" t="s">
        <v>547</v>
      </c>
      <c r="T1">
        <f>'1040 W4 PLANNER 2026'!I85</f>
        <v>0</v>
      </c>
      <c r="U1" t="s">
        <v>24</v>
      </c>
      <c r="V1" s="34">
        <v>2026</v>
      </c>
    </row>
    <row r="2" spans="1:22">
      <c r="B2" s="34">
        <v>2026</v>
      </c>
      <c r="K2" s="107"/>
      <c r="R2" s="108"/>
      <c r="S2">
        <v>7</v>
      </c>
      <c r="T2">
        <f>IF(T1&gt;25000,25000,T1)</f>
        <v>0</v>
      </c>
      <c r="U2" t="s">
        <v>574</v>
      </c>
    </row>
    <row r="3" spans="1:22">
      <c r="A3">
        <v>1</v>
      </c>
      <c r="B3" s="23">
        <f>'1040 W4 PLANNER 2026'!J48</f>
        <v>0</v>
      </c>
      <c r="C3" t="s">
        <v>54</v>
      </c>
      <c r="K3" s="109" t="s">
        <v>376</v>
      </c>
      <c r="R3" s="108"/>
      <c r="S3">
        <v>8</v>
      </c>
      <c r="T3">
        <f>G16</f>
        <v>0</v>
      </c>
      <c r="U3" t="s">
        <v>122</v>
      </c>
    </row>
    <row r="4" spans="1:22">
      <c r="A4">
        <f>A3+1</f>
        <v>2</v>
      </c>
      <c r="B4" s="19">
        <f>B3/2</f>
        <v>0</v>
      </c>
      <c r="C4" s="28" t="s">
        <v>55</v>
      </c>
      <c r="G4" s="34">
        <v>2026</v>
      </c>
      <c r="K4" s="107">
        <f>'1040 W4 PLANNER 2026'!Q8</f>
        <v>1</v>
      </c>
      <c r="R4" s="108"/>
      <c r="S4">
        <v>9</v>
      </c>
      <c r="T4">
        <f>IF(D1&lt;&gt;2, 150000,300000)</f>
        <v>150000</v>
      </c>
      <c r="U4" t="s">
        <v>575</v>
      </c>
    </row>
    <row r="5" spans="1:22">
      <c r="A5">
        <f t="shared" ref="A5:A20" si="0">A4+1</f>
        <v>3</v>
      </c>
      <c r="B5" s="23">
        <f>'1040 W4 PLANNER 2026'!S21+'1040 W4 PLANNER 2026'!S22+'1040 W4 PLANNER 2026'!S23+'1040 W4 PLANNER 2026'!S24+'1040 W4 PLANNER 2026'!S25+'1040 W4 PLANNER 2026'!S26+'1040 W4 PLANNER 2026'!S27+'1040 W4 PLANNER 2026'!S28+'1040 W4 PLANNER 2026'!S29+'1040 W4 PLANNER 2026'!S30+'1040 W4 PLANNER 2026'!S40+'1040 W4 PLANNER 2026'!S41+'1040 W4 PLANNER 2026'!S42+'1040 W4 PLANNER 2026'!S45+'1040 W4 PLANNER 2026'!S46+'1040 W4 PLANNER 2026'!S47+'1040 W4 PLANNER 2026'!S49</f>
        <v>0</v>
      </c>
      <c r="C5" t="s">
        <v>56</v>
      </c>
      <c r="F5" t="s">
        <v>75</v>
      </c>
      <c r="K5" s="107" t="s">
        <v>377</v>
      </c>
      <c r="L5" t="s">
        <v>263</v>
      </c>
      <c r="O5" t="s">
        <v>383</v>
      </c>
      <c r="R5" s="108"/>
      <c r="S5">
        <v>10</v>
      </c>
      <c r="T5">
        <f>IF(T3&lt;T4,T2,T3-T4)</f>
        <v>0</v>
      </c>
      <c r="U5" s="28" t="s">
        <v>576</v>
      </c>
    </row>
    <row r="6" spans="1:22">
      <c r="A6">
        <f t="shared" si="0"/>
        <v>4</v>
      </c>
      <c r="B6" s="23">
        <f>'1040 W4 PLANNER 2026'!K23</f>
        <v>0</v>
      </c>
      <c r="C6" t="s">
        <v>57</v>
      </c>
      <c r="F6">
        <v>1</v>
      </c>
      <c r="G6" s="23">
        <f>IF(D1=1,16100,IF(D1=3,16100,IF(D1=4,24150,33200)))</f>
        <v>16100</v>
      </c>
      <c r="H6" t="s">
        <v>77</v>
      </c>
      <c r="J6">
        <v>6</v>
      </c>
      <c r="K6" s="110">
        <f>IF(K4=2,326600,163300)</f>
        <v>163300</v>
      </c>
      <c r="L6" s="111">
        <f>IF(K4=2,326600,163300)</f>
        <v>163300</v>
      </c>
      <c r="M6" t="s">
        <v>250</v>
      </c>
      <c r="O6" t="s">
        <v>380</v>
      </c>
      <c r="P6" s="110">
        <f>'1040 W4 PLANNER 2026'!S50-'1040 W4 PLANNER 2026'!S52-'1040 W4 PLANNER 2026'!S53-'1040 W4 PLANNER 2026'!S54-'1040 W4 PLANNER 2026'!S56-'1040 W4 PLANNER 2026'!S57-'1040 W4 PLANNER 2026'!S58-'1040 W4 PLANNER 2026'!S59-'1040 W4 PLANNER 2026'!S60-'1040 W4 PLANNER 2026'!S61-'1040 W4 PLANNER 2026'!S63</f>
        <v>0</v>
      </c>
      <c r="R6" s="108"/>
      <c r="S6">
        <v>11</v>
      </c>
      <c r="T6">
        <f>INT(T5/1000)</f>
        <v>0</v>
      </c>
    </row>
    <row r="7" spans="1:22">
      <c r="A7">
        <f t="shared" si="0"/>
        <v>5</v>
      </c>
      <c r="B7" s="23">
        <f>B6+B5+B4</f>
        <v>0</v>
      </c>
      <c r="C7" t="s">
        <v>58</v>
      </c>
      <c r="F7" t="s">
        <v>76</v>
      </c>
      <c r="G7" s="23" t="e">
        <f>IF('1040 W4 PLANNER 2026'!#REF!+'1040 W4 PLANNER 2026'!Q5=0,1,0)</f>
        <v>#REF!</v>
      </c>
      <c r="H7" t="s">
        <v>78</v>
      </c>
      <c r="I7" t="s">
        <v>443</v>
      </c>
      <c r="J7">
        <v>8</v>
      </c>
      <c r="K7" s="110">
        <f>IF(K4=2,100000,50000)</f>
        <v>50000</v>
      </c>
      <c r="L7" s="111">
        <v>100000</v>
      </c>
      <c r="M7" t="s">
        <v>124</v>
      </c>
      <c r="O7" t="s">
        <v>381</v>
      </c>
      <c r="P7">
        <f>'1040 W4 PLANNER 2026'!S84</f>
        <v>16100</v>
      </c>
      <c r="R7" s="108"/>
      <c r="S7">
        <v>12</v>
      </c>
      <c r="T7">
        <f>T6*100</f>
        <v>0</v>
      </c>
    </row>
    <row r="8" spans="1:22">
      <c r="A8">
        <f t="shared" si="0"/>
        <v>6</v>
      </c>
      <c r="B8" s="23">
        <f>SUM('1040 W4 PLANNER 2026'!S52:S63)</f>
        <v>0</v>
      </c>
      <c r="C8" t="s">
        <v>59</v>
      </c>
      <c r="F8" t="s">
        <v>24</v>
      </c>
      <c r="G8" s="23">
        <f>'1040 W4 PLANNER 2026'!S21+'1040 W4 PLANNER 2026'!S22+'1040 W4 PLANNER 2026'!S27+'1040 W4 PLANNER 2026'!S28+'1040 W4 PLANNER 2026'!S45+'1040 W4 PLANNER 2026'!S46</f>
        <v>0</v>
      </c>
      <c r="H8" t="s">
        <v>79</v>
      </c>
      <c r="J8">
        <v>5</v>
      </c>
      <c r="K8" s="112">
        <f>P8</f>
        <v>-16100</v>
      </c>
      <c r="L8" s="113">
        <f>P8</f>
        <v>-16100</v>
      </c>
      <c r="O8" t="s">
        <v>382</v>
      </c>
      <c r="P8" s="19">
        <f>P6-P7</f>
        <v>-16100</v>
      </c>
      <c r="R8" s="108"/>
      <c r="S8">
        <v>13</v>
      </c>
      <c r="T8">
        <f>IF(U8&lt;0,0,U8)</f>
        <v>0</v>
      </c>
      <c r="U8">
        <f>IF(T4&gt;T3,T2,T2-T7)</f>
        <v>0</v>
      </c>
    </row>
    <row r="9" spans="1:22">
      <c r="A9">
        <f t="shared" si="0"/>
        <v>7</v>
      </c>
      <c r="B9" s="23">
        <f>IF(B7&gt;B8,B7-B8,0)</f>
        <v>0</v>
      </c>
      <c r="C9" t="s">
        <v>60</v>
      </c>
      <c r="F9">
        <v>3</v>
      </c>
      <c r="G9" s="23">
        <f>IF(G8&gt;650,G8+450,1350)</f>
        <v>1350</v>
      </c>
      <c r="H9" t="s">
        <v>561</v>
      </c>
      <c r="J9">
        <v>7</v>
      </c>
      <c r="K9" s="114">
        <f>K8-K6</f>
        <v>-179400</v>
      </c>
      <c r="L9" s="19">
        <f>K9</f>
        <v>-179400</v>
      </c>
      <c r="R9" s="108"/>
    </row>
    <row r="10" spans="1:22">
      <c r="A10">
        <f t="shared" si="0"/>
        <v>8</v>
      </c>
      <c r="B10" s="23">
        <f>IF(D1=2,32000,IF(D1=1,25000,IF(D1=4,25000,0)))</f>
        <v>25000</v>
      </c>
      <c r="F10">
        <v>4</v>
      </c>
      <c r="G10" s="23">
        <f>IF(G9&gt;G6,G6,G9)</f>
        <v>1350</v>
      </c>
      <c r="H10" t="s">
        <v>80</v>
      </c>
      <c r="J10">
        <v>9</v>
      </c>
      <c r="K10" s="115">
        <f>K9/K7</f>
        <v>-3.5880000000000001</v>
      </c>
      <c r="L10" s="116">
        <f>K10</f>
        <v>-3.5880000000000001</v>
      </c>
      <c r="R10" s="108"/>
    </row>
    <row r="11" spans="1:22">
      <c r="A11">
        <f t="shared" si="0"/>
        <v>9</v>
      </c>
      <c r="B11" s="23">
        <f>IF(B9&gt;B10,B9-B10,0)</f>
        <v>0</v>
      </c>
      <c r="C11" s="28" t="s">
        <v>61</v>
      </c>
      <c r="F11" t="s">
        <v>24</v>
      </c>
      <c r="G11" s="23" t="e">
        <f>IF(G7=0,G6,G10)</f>
        <v>#REF!</v>
      </c>
      <c r="H11" t="s">
        <v>78</v>
      </c>
      <c r="J11">
        <v>10</v>
      </c>
      <c r="K11" s="115">
        <f>1-K10</f>
        <v>4.5880000000000001</v>
      </c>
      <c r="L11" s="116">
        <f>K11</f>
        <v>4.5880000000000001</v>
      </c>
      <c r="R11" s="108"/>
      <c r="S11" t="s">
        <v>545</v>
      </c>
    </row>
    <row r="12" spans="1:22">
      <c r="A12">
        <f t="shared" si="0"/>
        <v>10</v>
      </c>
      <c r="B12" s="23">
        <f>IF(D1=2,12000,9000)</f>
        <v>9000</v>
      </c>
      <c r="F12">
        <v>5</v>
      </c>
      <c r="G12" s="23">
        <f>IF(D1=1,2050*'1040 W4 PLANNER 2026'!Q9,IF(D1=4,2050*'1040 W4 PLANNER 2026'!Q9,1650*'1040 W4 PLANNER 2026'!Q9))</f>
        <v>0</v>
      </c>
      <c r="H12" t="s">
        <v>81</v>
      </c>
      <c r="J12">
        <v>11</v>
      </c>
      <c r="K12" s="112">
        <f>K25*K11</f>
        <v>0</v>
      </c>
      <c r="L12" s="113">
        <f>L25*L11</f>
        <v>0</v>
      </c>
      <c r="R12" s="108"/>
      <c r="S12" t="s">
        <v>548</v>
      </c>
      <c r="T12">
        <f>'1040 W4 PLANNER 2026'!I86</f>
        <v>0</v>
      </c>
    </row>
    <row r="13" spans="1:22">
      <c r="A13">
        <f t="shared" si="0"/>
        <v>11</v>
      </c>
      <c r="B13" s="23">
        <f>IF(B11&gt;B12,B11-B12,0)</f>
        <v>0</v>
      </c>
      <c r="C13" s="28" t="s">
        <v>62</v>
      </c>
      <c r="F13">
        <v>5.5</v>
      </c>
      <c r="G13" s="19">
        <f>IF(G16&lt;G17,G19-(G16-G18)*(G19/100000),0)</f>
        <v>10500</v>
      </c>
      <c r="H13" t="s">
        <v>539</v>
      </c>
      <c r="K13" s="107"/>
      <c r="R13" s="108"/>
      <c r="S13">
        <v>15</v>
      </c>
      <c r="T13">
        <f>IF(T12&gt;U13,U13,T12)</f>
        <v>0</v>
      </c>
      <c r="U13">
        <f>IF(D1&lt;&gt;2,12500,25000)</f>
        <v>12500</v>
      </c>
    </row>
    <row r="14" spans="1:22">
      <c r="A14">
        <f t="shared" si="0"/>
        <v>12</v>
      </c>
      <c r="B14" s="23">
        <f>IF(B11&gt;B12,B12,B11)</f>
        <v>0</v>
      </c>
      <c r="C14" t="s">
        <v>63</v>
      </c>
      <c r="F14">
        <v>6</v>
      </c>
      <c r="G14" s="19">
        <f>G12+G6</f>
        <v>16100</v>
      </c>
      <c r="H14" t="s">
        <v>82</v>
      </c>
      <c r="K14" s="107"/>
      <c r="R14" s="108"/>
      <c r="S14">
        <v>16</v>
      </c>
      <c r="T14">
        <f>G16</f>
        <v>0</v>
      </c>
    </row>
    <row r="15" spans="1:22">
      <c r="A15">
        <f t="shared" si="0"/>
        <v>13</v>
      </c>
      <c r="B15" s="23">
        <f>B14/2</f>
        <v>0</v>
      </c>
      <c r="C15" s="28" t="s">
        <v>55</v>
      </c>
      <c r="K15" s="107"/>
      <c r="R15" s="108"/>
      <c r="S15">
        <v>17</v>
      </c>
      <c r="T15">
        <f>IF(D1&lt;&gt;2, 150000,300000)</f>
        <v>150000</v>
      </c>
    </row>
    <row r="16" spans="1:22">
      <c r="A16">
        <f t="shared" si="0"/>
        <v>14</v>
      </c>
      <c r="B16" s="23">
        <f>IF(B15&gt;B4,B4,B15)</f>
        <v>0</v>
      </c>
      <c r="C16" t="s">
        <v>64</v>
      </c>
      <c r="G16">
        <f>'1040 W4 PLANNER 2026'!S65</f>
        <v>0</v>
      </c>
      <c r="H16" t="s">
        <v>122</v>
      </c>
      <c r="K16" s="107"/>
      <c r="R16" s="108"/>
      <c r="S16">
        <v>18</v>
      </c>
      <c r="T16">
        <f>IF(T14&lt;T15,T13,T14-T15)</f>
        <v>0</v>
      </c>
    </row>
    <row r="17" spans="1:21">
      <c r="A17">
        <f t="shared" si="0"/>
        <v>15</v>
      </c>
      <c r="B17" s="23">
        <f>B13*0.85</f>
        <v>0</v>
      </c>
      <c r="C17" s="27" t="s">
        <v>65</v>
      </c>
      <c r="G17">
        <f>IF(D1&lt;&gt;2,175000,250000)</f>
        <v>175000</v>
      </c>
      <c r="H17" t="s">
        <v>540</v>
      </c>
      <c r="K17" s="107"/>
      <c r="R17" s="108"/>
      <c r="S17">
        <v>19</v>
      </c>
      <c r="T17">
        <f>INT(T16/1000)</f>
        <v>0</v>
      </c>
    </row>
    <row r="18" spans="1:21">
      <c r="A18">
        <f t="shared" si="0"/>
        <v>16</v>
      </c>
      <c r="B18" s="23">
        <f>B17+B16</f>
        <v>0</v>
      </c>
      <c r="C18" s="29" t="s">
        <v>66</v>
      </c>
      <c r="G18">
        <f>IF(D1&lt;&gt;2,75000,150000)</f>
        <v>75000</v>
      </c>
      <c r="H18" t="s">
        <v>541</v>
      </c>
      <c r="I18" t="s">
        <v>543</v>
      </c>
      <c r="K18" s="110">
        <f>IF('1040 W4 PLANNER 2026'!Q27="X",'1040 W4 PLANNER 2026'!S27,0)</f>
        <v>0</v>
      </c>
      <c r="L18" s="111">
        <f>IF('1040 W4 PLANNER 2026'!S27&lt;&gt;"X",'1040 W4 PLANNER 2026'!S27,0)</f>
        <v>0</v>
      </c>
      <c r="M18" t="s">
        <v>252</v>
      </c>
      <c r="N18" t="s">
        <v>251</v>
      </c>
      <c r="R18" s="108"/>
      <c r="S18">
        <v>20</v>
      </c>
      <c r="T18">
        <f>T17*100</f>
        <v>0</v>
      </c>
    </row>
    <row r="19" spans="1:21">
      <c r="A19">
        <f t="shared" si="0"/>
        <v>17</v>
      </c>
      <c r="B19" s="23">
        <f>B3*0.85</f>
        <v>0</v>
      </c>
      <c r="C19" s="29" t="s">
        <v>67</v>
      </c>
      <c r="G19">
        <f>IF(D1&lt;&gt;2,6000,12000)</f>
        <v>6000</v>
      </c>
      <c r="H19" t="s">
        <v>542</v>
      </c>
      <c r="K19" s="110">
        <f>IF('1040 W4 PLANNER 2026'!Q28="X",'1040 W4 PLANNER 2026'!S28,0)</f>
        <v>0</v>
      </c>
      <c r="L19" s="111">
        <f>IF('1040 W4 PLANNER 2026'!S28&lt;&gt;"X",'1040 W4 PLANNER 2026'!S28,0)</f>
        <v>0</v>
      </c>
      <c r="M19" t="s">
        <v>253</v>
      </c>
      <c r="R19" s="108"/>
      <c r="S19">
        <v>21</v>
      </c>
      <c r="T19">
        <f>IF(U19&lt;0,0,U19)</f>
        <v>0</v>
      </c>
      <c r="U19">
        <f>IF(T15&gt;T14,T13,T13-T18)</f>
        <v>0</v>
      </c>
    </row>
    <row r="20" spans="1:21">
      <c r="A20">
        <f t="shared" si="0"/>
        <v>18</v>
      </c>
      <c r="B20" s="23">
        <f>IF(B18&gt;B19,B19,B18)</f>
        <v>0</v>
      </c>
      <c r="C20" t="s">
        <v>68</v>
      </c>
      <c r="K20" s="110">
        <f>IF('1040 W4 PLANNER 2026'!Q42="X",'1040 W4 PLANNER 2026'!S42,0)</f>
        <v>0</v>
      </c>
      <c r="L20" s="111">
        <f>IF('1040 W4 PLANNER 2026'!Q42&lt;&gt;"X",'1040 W4 PLANNER 2026'!S42,0)</f>
        <v>0</v>
      </c>
      <c r="R20" s="108"/>
    </row>
    <row r="21" spans="1:21">
      <c r="A21">
        <v>19</v>
      </c>
      <c r="B21" s="23">
        <f>IF(D1=3,B3*0.85,B20)</f>
        <v>0</v>
      </c>
      <c r="C21" t="s">
        <v>53</v>
      </c>
      <c r="G21" t="s">
        <v>84</v>
      </c>
      <c r="K21" s="110">
        <f>IF('1040 W4 PLANNER 2026'!Q43="X",'1040 W4 PLANNER 2026'!S43,0)</f>
        <v>0</v>
      </c>
      <c r="L21" s="111">
        <f>IF('1040 W4 PLANNER 2026'!Q43&lt;&gt;"X",'1040 W4 PLANNER 2026'!S43,0)</f>
        <v>0</v>
      </c>
      <c r="M21" t="s">
        <v>254</v>
      </c>
      <c r="R21" s="108"/>
      <c r="S21" t="s">
        <v>549</v>
      </c>
    </row>
    <row r="22" spans="1:21">
      <c r="B22" s="34">
        <v>2026</v>
      </c>
      <c r="G22" s="34">
        <v>2026</v>
      </c>
      <c r="K22" s="110">
        <f>IF('1040 W4 PLANNER 2026'!Q44="X",'1040 W4 PLANNER 2026'!S44,0)</f>
        <v>0</v>
      </c>
      <c r="L22" s="111">
        <f>IF('1040 W4 PLANNER 2026'!Q44&lt;&gt;"X",'1040 W4 PLANNER 2026'!S44,0)</f>
        <v>0</v>
      </c>
      <c r="M22" t="s">
        <v>255</v>
      </c>
      <c r="R22" s="108"/>
      <c r="S22">
        <v>23</v>
      </c>
      <c r="T22">
        <f>'1040 W4 PLANNER 2026'!I87</f>
        <v>0</v>
      </c>
    </row>
    <row r="23" spans="1:21">
      <c r="A23" t="s">
        <v>69</v>
      </c>
      <c r="D23" t="s">
        <v>73</v>
      </c>
      <c r="G23">
        <v>1</v>
      </c>
      <c r="H23" s="23">
        <f>'1040 W4 PLANNER 2026'!I62</f>
        <v>0</v>
      </c>
      <c r="I23" t="s">
        <v>89</v>
      </c>
      <c r="K23" s="107"/>
      <c r="L23" s="111">
        <f>'1040 W4 PLANNER 2026'!S45</f>
        <v>0</v>
      </c>
      <c r="M23" t="s">
        <v>264</v>
      </c>
      <c r="R23" s="108"/>
      <c r="S23">
        <v>24</v>
      </c>
      <c r="T23">
        <f>IF(T22&gt;10000,10000,T22)</f>
        <v>0</v>
      </c>
    </row>
    <row r="24" spans="1:21">
      <c r="A24" t="s">
        <v>70</v>
      </c>
      <c r="B24" s="23">
        <f>'1040 W4 PLANNER 2026'!S45</f>
        <v>0</v>
      </c>
      <c r="D24" t="s">
        <v>70</v>
      </c>
      <c r="E24" s="23">
        <f>'1040 W4 PLANNER 2026'!S46</f>
        <v>0</v>
      </c>
      <c r="G24">
        <v>2</v>
      </c>
      <c r="H24" s="23">
        <f>'1040 W4 PLANNER 2026'!S21+'1040 W4 PLANNER 2026'!S22+'1040 W4 PLANNER 2026'!S23+'1040 W4 PLANNER 2026'!S24+'1040 W4 PLANNER 2026'!S25+'1040 W4 PLANNER 2026'!S26+'1040 W4 PLANNER 2026'!S27+'1040 W4 PLANNER 2026'!S28+'1040 W4 PLANNER 2026'!S29+'1040 W4 PLANNER 2026'!S30+'1040 W4 PLANNER 2026'!S40+'1040 W4 PLANNER 2026'!S41+'1040 W4 PLANNER 2026'!S42+'1040 W4 PLANNER 2026'!S45+'1040 W4 PLANNER 2026'!S46+'1040 W4 PLANNER 2026'!S49+'1040 W4 PLANNER 2026'!J48*0.85+'1040 W4 PLANNER 2026'!S47+'1040 W4 PLANNER 2026'!S43+'1040 W4 PLANNER 2026'!S44</f>
        <v>0</v>
      </c>
      <c r="I24" t="s">
        <v>85</v>
      </c>
      <c r="K24" s="107"/>
      <c r="L24" s="111">
        <f>'1040 W4 PLANNER 2026'!S46</f>
        <v>0</v>
      </c>
      <c r="M24" t="s">
        <v>265</v>
      </c>
      <c r="R24" s="108"/>
      <c r="S24">
        <v>25</v>
      </c>
      <c r="T24">
        <f>G16</f>
        <v>0</v>
      </c>
    </row>
    <row r="25" spans="1:21">
      <c r="A25" t="s">
        <v>71</v>
      </c>
      <c r="B25" s="23">
        <v>0</v>
      </c>
      <c r="D25" t="s">
        <v>71</v>
      </c>
      <c r="E25" s="23">
        <v>0</v>
      </c>
      <c r="G25">
        <v>3</v>
      </c>
      <c r="H25" s="23">
        <f>'1040 W4 PLANNER 2026'!S52+'1040 W4 PLANNER 2026'!S53+'1040 W4 PLANNER 2026'!S54+'1040 W4 PLANNER 2026'!S55+'1040 W4 PLANNER 2026'!S56+'1040 W4 PLANNER 2026'!S57+'1040 W4 PLANNER 2026'!S58+'1040 W4 PLANNER 2026'!S59+'1040 W4 PLANNER 2026'!S60+'1040 W4 PLANNER 2026'!S61</f>
        <v>0</v>
      </c>
      <c r="K25" s="110">
        <f>SUM(K18:K22)</f>
        <v>0</v>
      </c>
      <c r="L25" s="111">
        <f>SUM(L18:L24)</f>
        <v>0</v>
      </c>
      <c r="M25" t="s">
        <v>256</v>
      </c>
      <c r="R25" s="108"/>
      <c r="S25">
        <v>26</v>
      </c>
      <c r="T25">
        <f>IF(D1&lt;&gt;2,100000,200000)</f>
        <v>100000</v>
      </c>
    </row>
    <row r="26" spans="1:21">
      <c r="A26">
        <v>2</v>
      </c>
      <c r="B26" s="23">
        <f>'1040 W4 PLANNER 2026'!S27</f>
        <v>0</v>
      </c>
      <c r="D26">
        <v>2</v>
      </c>
      <c r="E26" s="23">
        <f>'1040 W4 PLANNER 2026'!S28</f>
        <v>0</v>
      </c>
      <c r="G26">
        <v>4</v>
      </c>
      <c r="H26" s="23">
        <f>H24-H25</f>
        <v>0</v>
      </c>
      <c r="K26" s="110">
        <f>IF(K25&gt;0,K25*0.2,0)</f>
        <v>0</v>
      </c>
      <c r="L26" s="111">
        <f>IF(L25&gt;0,L25*0.2,0)</f>
        <v>0</v>
      </c>
      <c r="M26" t="s">
        <v>257</v>
      </c>
      <c r="R26" s="108"/>
      <c r="S26">
        <v>27</v>
      </c>
      <c r="T26">
        <f>IF(T24&lt;T25,T23,T24-T25)</f>
        <v>0</v>
      </c>
    </row>
    <row r="27" spans="1:21">
      <c r="A27">
        <v>3</v>
      </c>
      <c r="B27" s="23">
        <f>SUM(B24:B26)</f>
        <v>0</v>
      </c>
      <c r="D27">
        <v>3</v>
      </c>
      <c r="E27" s="23">
        <f>SUM(E24:E26)</f>
        <v>0</v>
      </c>
      <c r="G27">
        <v>5</v>
      </c>
      <c r="H27" s="23">
        <f>+IF(D1=2,175000,85000)</f>
        <v>85000</v>
      </c>
      <c r="I27" t="s">
        <v>88</v>
      </c>
      <c r="L27" s="111"/>
      <c r="M27" t="s">
        <v>258</v>
      </c>
      <c r="R27" s="108"/>
      <c r="S27">
        <v>28</v>
      </c>
      <c r="T27">
        <f>INT(T26/1000)</f>
        <v>0</v>
      </c>
    </row>
    <row r="28" spans="1:21">
      <c r="A28">
        <v>4</v>
      </c>
      <c r="B28" s="23">
        <f>B27*0.9235</f>
        <v>0</v>
      </c>
      <c r="D28">
        <v>4</v>
      </c>
      <c r="E28" s="23">
        <f>E27*0.9235</f>
        <v>0</v>
      </c>
      <c r="G28">
        <v>6</v>
      </c>
      <c r="H28" s="23">
        <f>IF(H27&gt;H26,0,H26-H27)</f>
        <v>0</v>
      </c>
      <c r="I28" s="29" t="s">
        <v>87</v>
      </c>
      <c r="K28" s="110">
        <f>IF(P6&gt;K6,P6-K6,0)</f>
        <v>0</v>
      </c>
      <c r="M28" t="s">
        <v>266</v>
      </c>
      <c r="R28" s="108"/>
      <c r="S28">
        <v>29</v>
      </c>
      <c r="T28">
        <f>T27*200</f>
        <v>0</v>
      </c>
    </row>
    <row r="29" spans="1:21">
      <c r="A29">
        <v>5</v>
      </c>
      <c r="B29" s="23">
        <f>IF(B28&lt;400,0,B28)</f>
        <v>0</v>
      </c>
      <c r="D29">
        <v>5</v>
      </c>
      <c r="E29" s="23">
        <f>IF(E28&lt;400,0,E28)</f>
        <v>0</v>
      </c>
      <c r="G29">
        <v>7</v>
      </c>
      <c r="H29" s="31">
        <f>IF(D1=1,H28/15000,H28/30000)</f>
        <v>0</v>
      </c>
      <c r="I29" t="s">
        <v>210</v>
      </c>
      <c r="K29" s="110">
        <f>ROUND(K28/1000,0)*1000</f>
        <v>0</v>
      </c>
      <c r="M29" t="s">
        <v>125</v>
      </c>
      <c r="R29" s="108"/>
      <c r="S29">
        <v>30</v>
      </c>
      <c r="T29">
        <f>IF(U29&lt;0,0,U29)</f>
        <v>0</v>
      </c>
      <c r="U29">
        <f>IF(T25&gt;T24,T23,T23-T28)</f>
        <v>0</v>
      </c>
    </row>
    <row r="30" spans="1:21">
      <c r="A30">
        <v>6</v>
      </c>
      <c r="B30" s="23">
        <f>B29</f>
        <v>0</v>
      </c>
      <c r="D30">
        <v>6</v>
      </c>
      <c r="E30" s="23">
        <f>E29</f>
        <v>0</v>
      </c>
      <c r="G30">
        <v>7</v>
      </c>
      <c r="H30">
        <f>IF(H29&gt;1,1,H29)</f>
        <v>0</v>
      </c>
      <c r="K30" s="117">
        <f>K29/K7</f>
        <v>0</v>
      </c>
      <c r="R30" s="108"/>
    </row>
    <row r="31" spans="1:21">
      <c r="A31">
        <v>7</v>
      </c>
      <c r="B31" s="23">
        <v>184500</v>
      </c>
      <c r="D31">
        <v>7</v>
      </c>
      <c r="E31" s="23">
        <v>184500</v>
      </c>
      <c r="G31">
        <v>7</v>
      </c>
      <c r="H31" s="31">
        <f>ROUND(H30,3)</f>
        <v>0</v>
      </c>
      <c r="I31" t="s">
        <v>86</v>
      </c>
      <c r="K31" s="110">
        <f>K30*K26</f>
        <v>0</v>
      </c>
      <c r="R31" s="108"/>
      <c r="S31" t="s">
        <v>570</v>
      </c>
      <c r="T31" s="34">
        <v>2026</v>
      </c>
    </row>
    <row r="32" spans="1:21">
      <c r="A32">
        <v>8</v>
      </c>
      <c r="B32" s="23">
        <f>'1040 W4 PLANNER 2026'!L27</f>
        <v>0</v>
      </c>
      <c r="D32">
        <v>8</v>
      </c>
      <c r="E32" s="23">
        <f>'1040 W4 PLANNER 2026'!L28</f>
        <v>0</v>
      </c>
      <c r="G32">
        <v>8</v>
      </c>
      <c r="H32" s="23">
        <f>H31*H23</f>
        <v>0</v>
      </c>
      <c r="I32" s="29" t="s">
        <v>90</v>
      </c>
      <c r="K32" s="110"/>
      <c r="L32" s="118">
        <f>L26+K26</f>
        <v>0</v>
      </c>
      <c r="M32" t="s">
        <v>267</v>
      </c>
      <c r="R32" s="108"/>
      <c r="S32" t="s">
        <v>122</v>
      </c>
      <c r="T32">
        <f>'1040 W4 PLANNER 2026'!S65</f>
        <v>0</v>
      </c>
    </row>
    <row r="33" spans="1:20">
      <c r="A33">
        <v>9</v>
      </c>
      <c r="B33" s="23">
        <f>IF(B31&gt;B32,(B31-B32),0)</f>
        <v>184500</v>
      </c>
      <c r="D33">
        <v>9</v>
      </c>
      <c r="E33" s="23">
        <v>184500</v>
      </c>
      <c r="G33">
        <v>9</v>
      </c>
      <c r="H33" s="19">
        <f>H23-H32</f>
        <v>0</v>
      </c>
      <c r="I33" s="29" t="s">
        <v>91</v>
      </c>
      <c r="K33" s="110"/>
      <c r="L33">
        <f>IF(P8&lt;326600,L32,0)</f>
        <v>0</v>
      </c>
      <c r="M33" t="s">
        <v>96</v>
      </c>
      <c r="R33" s="108"/>
      <c r="S33" t="s">
        <v>571</v>
      </c>
      <c r="T33">
        <f>'1040 W4 PLANNER 2026'!S73+'1040 W4 PLANNER 2026'!S74+'1040 W4 PLANNER 2026'!S75</f>
        <v>0</v>
      </c>
    </row>
    <row r="34" spans="1:20">
      <c r="A34">
        <v>10</v>
      </c>
      <c r="B34" s="23">
        <f>IF(B33&gt;B30,B30*0.124,B33*0.124)</f>
        <v>0</v>
      </c>
      <c r="D34">
        <v>10</v>
      </c>
      <c r="E34" s="23">
        <f>IF(E33&gt;E30,E30*0.124,E33*0.124)</f>
        <v>0</v>
      </c>
      <c r="H34" s="23">
        <f>IF(H33&gt;2500,2500,H33)</f>
        <v>0</v>
      </c>
      <c r="K34" s="110"/>
      <c r="L34">
        <f>IF(P8&lt;163300,L32,0)</f>
        <v>0</v>
      </c>
      <c r="M34" t="s">
        <v>92</v>
      </c>
      <c r="R34" s="108"/>
      <c r="S34" t="s">
        <v>572</v>
      </c>
      <c r="T34">
        <f>IF(D1=3,252500,505000)</f>
        <v>505000</v>
      </c>
    </row>
    <row r="35" spans="1:20">
      <c r="A35">
        <v>11</v>
      </c>
      <c r="B35" s="23">
        <f>B30*0.029</f>
        <v>0</v>
      </c>
      <c r="D35">
        <v>11</v>
      </c>
      <c r="E35" s="23">
        <f>E30*0.029</f>
        <v>0</v>
      </c>
      <c r="G35" t="s">
        <v>565</v>
      </c>
      <c r="I35" s="34">
        <v>2026</v>
      </c>
      <c r="K35" s="110"/>
      <c r="L35" s="122">
        <f>IF(D1=2,L33,L34)</f>
        <v>0</v>
      </c>
      <c r="M35" s="122" t="s">
        <v>95</v>
      </c>
      <c r="R35" s="108"/>
      <c r="S35" t="s">
        <v>198</v>
      </c>
      <c r="T35">
        <f>(T32-T34)*0.3</f>
        <v>-151500</v>
      </c>
    </row>
    <row r="36" spans="1:20">
      <c r="A36">
        <v>12</v>
      </c>
      <c r="B36" s="23">
        <f>SUM(B34:B35)</f>
        <v>0</v>
      </c>
      <c r="D36">
        <v>12</v>
      </c>
      <c r="E36" s="23">
        <f>SUM(E34:E35)</f>
        <v>0</v>
      </c>
      <c r="G36" t="s">
        <v>566</v>
      </c>
      <c r="H36">
        <f>INT('1040 W4 PLANNER 2026'!S81+0.5)</f>
        <v>0</v>
      </c>
      <c r="K36" s="110"/>
      <c r="R36" s="108"/>
      <c r="S36" t="s">
        <v>198</v>
      </c>
    </row>
    <row r="37" spans="1:20">
      <c r="A37">
        <v>13</v>
      </c>
      <c r="B37" s="23">
        <f>B34*0.5+0.5*B35</f>
        <v>0</v>
      </c>
      <c r="D37">
        <v>13</v>
      </c>
      <c r="E37" s="23">
        <f>E34*0.5+0.5*E35</f>
        <v>0</v>
      </c>
      <c r="G37" t="s">
        <v>568</v>
      </c>
      <c r="H37">
        <f>IF(D1=2,2000,1000)</f>
        <v>1000</v>
      </c>
      <c r="K37" s="107"/>
      <c r="R37" s="108"/>
      <c r="S37" t="s">
        <v>571</v>
      </c>
    </row>
    <row r="38" spans="1:20">
      <c r="G38" t="s">
        <v>569</v>
      </c>
      <c r="H38">
        <f>IF('1040 W4 PLANNER 2026'!F78&gt;'SS PT SD SINT'!H37,'SS PT SD SINT'!H37,'1040 W4 PLANNER 2026'!F78)</f>
        <v>0</v>
      </c>
      <c r="K38" s="107"/>
      <c r="R38" s="108"/>
      <c r="S38" t="s">
        <v>573</v>
      </c>
      <c r="T38" s="274">
        <f>MIN(T33, IF(T32&lt;=505000, 40400, MAX(10000, 40400 - (0.3*(T32-505000)))))</f>
        <v>0</v>
      </c>
    </row>
    <row r="39" spans="1:20" ht="15.75" thickBot="1">
      <c r="G39" t="s">
        <v>566</v>
      </c>
      <c r="H39">
        <f>IF(G14&lt;H36,0,H38)</f>
        <v>0</v>
      </c>
      <c r="K39" s="119"/>
      <c r="L39" s="120"/>
      <c r="M39" s="120"/>
      <c r="N39" s="120"/>
      <c r="O39" s="120"/>
      <c r="P39" s="120"/>
      <c r="Q39" s="120"/>
      <c r="R39" s="121"/>
    </row>
    <row r="40" spans="1:20">
      <c r="G40" t="s">
        <v>116</v>
      </c>
      <c r="H40">
        <f>IF(H37&gt;H38,H38,H37)</f>
        <v>0</v>
      </c>
    </row>
    <row r="41" spans="1:20">
      <c r="G41" t="s">
        <v>567</v>
      </c>
      <c r="H41">
        <f>IF(H36&lt;G14,H40,H37)</f>
        <v>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L58"/>
  <sheetViews>
    <sheetView workbookViewId="0">
      <selection activeCell="E24" sqref="E24"/>
    </sheetView>
  </sheetViews>
  <sheetFormatPr defaultRowHeight="15"/>
  <cols>
    <col min="1" max="1" width="17.5703125" customWidth="1"/>
    <col min="2" max="2" width="12.7109375" bestFit="1" customWidth="1"/>
    <col min="3" max="3" width="23.42578125" customWidth="1"/>
    <col min="4" max="4" width="10.5703125" bestFit="1" customWidth="1"/>
    <col min="6" max="6" width="10.5703125" bestFit="1" customWidth="1"/>
    <col min="7" max="7" width="11.5703125" bestFit="1" customWidth="1"/>
  </cols>
  <sheetData>
    <row r="1" spans="1:9">
      <c r="B1" s="11" t="s">
        <v>94</v>
      </c>
      <c r="C1" t="s">
        <v>238</v>
      </c>
      <c r="D1">
        <f>'1040 W4 PLANNER 2026'!Q8</f>
        <v>1</v>
      </c>
      <c r="E1" s="76" t="s">
        <v>579</v>
      </c>
      <c r="I1" t="s">
        <v>235</v>
      </c>
    </row>
    <row r="2" spans="1:9">
      <c r="B2" s="91">
        <f>'1040 W4 PLANNER 2026'!S90</f>
        <v>-26600</v>
      </c>
      <c r="C2" t="s">
        <v>93</v>
      </c>
      <c r="F2" t="s">
        <v>270</v>
      </c>
      <c r="G2" t="s">
        <v>271</v>
      </c>
      <c r="I2" t="e">
        <f>IF('1040 W4 PLANNER 2026'!K24:K24&gt;'1040 W4 PLANNER 2026'!F24:G24,'1040 W4 PLANNER 2026'!F24:G24,'1040 W4 PLANNER 2026'!K24:K24)</f>
        <v>#VALUE!</v>
      </c>
    </row>
    <row r="3" spans="1:9">
      <c r="B3" t="s">
        <v>92</v>
      </c>
      <c r="C3" s="23">
        <f>IF(F3&gt;G3,F3,G3)</f>
        <v>0</v>
      </c>
      <c r="F3" s="23">
        <f>IF(B2&lt;12400,B2*0.1,IF(B2&lt;50400,B2*0.12-248,IF(B2&lt;105700,B2*0.22-5288,IF(B2&lt;201775,B2*0.24-7402,IF(B2&lt;256225,B2*0.32-23544,IF(B2&lt;640600,B2*0.35-31231,B2*0.37-44042.75))))))</f>
        <v>-2660</v>
      </c>
      <c r="G3" s="23"/>
      <c r="I3" s="19"/>
    </row>
    <row r="4" spans="1:9">
      <c r="B4" t="s">
        <v>96</v>
      </c>
      <c r="C4" s="23">
        <f>IF(F4&gt;G4,F4,G4)</f>
        <v>0</v>
      </c>
      <c r="F4" s="23">
        <f>IF(B2&lt;24800,B2*0.1,IF(B2&lt;100800,B2*0.12-496,IF(B2&lt;211400,B2*0.22-10576,IF(B2&lt;403550,B2*0.24-14804,IF(B2&lt;512450,B2*0.32-47088,IF(B2&lt;768700,B2*0.35-62461.5,B2*0.37-77835.5))))))</f>
        <v>-2660</v>
      </c>
      <c r="G4" s="23"/>
    </row>
    <row r="5" spans="1:9">
      <c r="B5" t="s">
        <v>97</v>
      </c>
      <c r="C5" s="23">
        <f>IF(F5&gt;G5,F5,G5)</f>
        <v>0</v>
      </c>
      <c r="F5" s="23">
        <f>IF(B2&lt;12400,B2*0.1,IF(B2&lt;50400,B2*0.12-248,IF(B2&lt;105700,B2*0.22-5288,IF(B2&lt;201775,B2*0.24-7402,IF(B2&lt;256225,B2*0.32-23544,IF(B2&lt;384350,B2*0.35-31230.75,B2*0.37-38917.75))))))</f>
        <v>-2660</v>
      </c>
      <c r="G5" s="23"/>
    </row>
    <row r="6" spans="1:9">
      <c r="B6" t="s">
        <v>98</v>
      </c>
      <c r="C6" s="23">
        <f>IF(F6&gt;G6,F6,G6)</f>
        <v>0</v>
      </c>
      <c r="F6" s="23">
        <f>IF(B2&lt;17700,B2*0.1,IF(B2&lt;67450,B2*0.12-354,IF(B2&lt;105700,B2*0.22-7099,IF(B2&lt;201750,B2*0.24-9213,IF(B2&lt;256200,B2*0.32-25353,IF(B2&lt;640600,B2*0.35-33039,B2*0.37-45851))))))</f>
        <v>-2660</v>
      </c>
      <c r="G6" s="23"/>
    </row>
    <row r="7" spans="1:9">
      <c r="C7" s="23"/>
    </row>
    <row r="8" spans="1:9">
      <c r="B8" t="s">
        <v>99</v>
      </c>
      <c r="C8" s="23">
        <f>IF(D1=1,F3,IF(D1=2,F4,IF(D1=3,F5,IF(D1=4,F6,F4))))</f>
        <v>-2660</v>
      </c>
      <c r="F8" s="20"/>
    </row>
    <row r="9" spans="1:9">
      <c r="B9" t="s">
        <v>102</v>
      </c>
      <c r="C9" s="23">
        <f>(B13+B14)*'1040 W4 PLANNER 2026'!L29</f>
        <v>0</v>
      </c>
      <c r="D9" t="s">
        <v>111</v>
      </c>
    </row>
    <row r="10" spans="1:9">
      <c r="B10" t="s">
        <v>105</v>
      </c>
      <c r="C10" s="23">
        <f>SUM(C8:C9)</f>
        <v>-2660</v>
      </c>
      <c r="D10" s="35">
        <f>ROUND(C11,0)</f>
        <v>0</v>
      </c>
    </row>
    <row r="11" spans="1:9">
      <c r="B11" t="s">
        <v>140</v>
      </c>
      <c r="C11">
        <f>IF(C10&lt;0,0,C10)</f>
        <v>0</v>
      </c>
    </row>
    <row r="12" spans="1:9">
      <c r="A12" t="s">
        <v>93</v>
      </c>
      <c r="B12" s="23">
        <f>'1040 W4 PLANNER 2026'!S90</f>
        <v>-26600</v>
      </c>
    </row>
    <row r="13" spans="1:9">
      <c r="A13" t="s">
        <v>100</v>
      </c>
      <c r="B13" s="23">
        <f>'1040 W4 PLANNER 2026'!G29</f>
        <v>0</v>
      </c>
      <c r="C13" t="s">
        <v>237</v>
      </c>
      <c r="G13" t="s">
        <v>385</v>
      </c>
      <c r="H13">
        <f>IF('1040 W4 PLANNER 2026'!Q8=3,5000,10000)</f>
        <v>10000</v>
      </c>
    </row>
    <row r="14" spans="1:9">
      <c r="A14" t="s">
        <v>104</v>
      </c>
      <c r="B14" s="23">
        <f>IF(C14&gt;'1040 W4 PLANNER 2026'!F24,'1040 W4 PLANNER 2026'!F24,C14)</f>
        <v>0</v>
      </c>
      <c r="C14" s="23">
        <f>'1040 W4 PLANNER 2026'!K24</f>
        <v>0</v>
      </c>
    </row>
    <row r="15" spans="1:9">
      <c r="A15" t="s">
        <v>101</v>
      </c>
      <c r="B15" s="19">
        <f>B12-B13-B14</f>
        <v>-26600</v>
      </c>
      <c r="C15" s="19" t="s">
        <v>24</v>
      </c>
    </row>
    <row r="16" spans="1:9">
      <c r="A16" s="34">
        <v>2026</v>
      </c>
      <c r="C16" t="s">
        <v>580</v>
      </c>
      <c r="D16" s="34">
        <f>'1040 W4 PLANNER 2026'!Q8</f>
        <v>1</v>
      </c>
    </row>
    <row r="17" spans="1:12">
      <c r="A17" t="s">
        <v>110</v>
      </c>
    </row>
    <row r="18" spans="1:12">
      <c r="A18">
        <v>3</v>
      </c>
      <c r="B18" s="23">
        <f>H23</f>
        <v>0</v>
      </c>
      <c r="C18" t="s">
        <v>113</v>
      </c>
      <c r="F18" t="s">
        <v>245</v>
      </c>
      <c r="H18">
        <f>'1040 W4 PLANNER 2026'!H97</f>
        <v>0</v>
      </c>
      <c r="K18" t="s">
        <v>24</v>
      </c>
    </row>
    <row r="19" spans="1:12">
      <c r="A19">
        <v>4</v>
      </c>
      <c r="B19" s="23">
        <f>'1040 W4 PLANNER 2026'!S21+'1040 W4 PLANNER 2026'!S45+'1040 W4 PLANNER 2026'!S27</f>
        <v>0</v>
      </c>
      <c r="C19" t="s">
        <v>114</v>
      </c>
      <c r="H19">
        <f>'1040 W4 PLANNER 2026'!P97</f>
        <v>0</v>
      </c>
      <c r="I19" t="s">
        <v>113</v>
      </c>
      <c r="L19" s="153"/>
    </row>
    <row r="20" spans="1:12">
      <c r="A20">
        <v>5</v>
      </c>
      <c r="B20">
        <f>IF(D16=2,D20,B19)</f>
        <v>0</v>
      </c>
      <c r="C20" t="s">
        <v>115</v>
      </c>
      <c r="D20" s="38">
        <f>'1040 W4 PLANNER 2026'!S22+'1040 W4 PLANNER 2026'!S28+'1040 W4 PLANNER 2026'!S46</f>
        <v>0</v>
      </c>
      <c r="H20">
        <f>IF(H18=0,0,H19)</f>
        <v>0</v>
      </c>
      <c r="I20">
        <v>0</v>
      </c>
      <c r="L20" s="153"/>
    </row>
    <row r="21" spans="1:12">
      <c r="A21">
        <v>6</v>
      </c>
      <c r="B21" s="23">
        <f>MIN(B18,B19,B20)</f>
        <v>0</v>
      </c>
      <c r="C21" t="s">
        <v>116</v>
      </c>
      <c r="E21" s="33" t="s">
        <v>24</v>
      </c>
      <c r="H21">
        <f>IF((H18=1)*(H19&gt;3000),3000,H19)</f>
        <v>0</v>
      </c>
      <c r="I21">
        <v>1</v>
      </c>
      <c r="L21" s="154"/>
    </row>
    <row r="22" spans="1:12">
      <c r="A22">
        <v>7</v>
      </c>
      <c r="B22" s="23">
        <f>'1040 W4 PLANNER 2026'!S65</f>
        <v>0</v>
      </c>
      <c r="C22" t="s">
        <v>117</v>
      </c>
      <c r="H22">
        <f>IF((H18=2)*(H19&gt;6000),6000,H19)</f>
        <v>0</v>
      </c>
      <c r="I22">
        <v>2</v>
      </c>
    </row>
    <row r="23" spans="1:12">
      <c r="A23">
        <v>8</v>
      </c>
      <c r="B23">
        <f>IF(D16&lt;&gt;2,MAX(0.2, MIN(0.5, IF(B22&lt;=15000, 0.5, IF(B22&lt;=45000, 0.5-(INT((B22-15001)/2000)+1)*0.01, IF(B22&lt;=75000, 0.35, 0.35-(INT((B22-75001)/2000)+1)*0.01))))),MAX(0.2, MIN(0.5, IF(B22&lt;=30000, 0.5, IF(A2&lt;=43000, 0.5-(INT((B22-30001)/2000)+1)*0.01, IF(B22&lt;=150000, 0.35, 0.35-(INT((B22-150001)/2000)+1)*0.01))))))</f>
        <v>0.5</v>
      </c>
      <c r="C23" t="s">
        <v>118</v>
      </c>
      <c r="H23">
        <f>MIN(H20,H21,H22)</f>
        <v>0</v>
      </c>
      <c r="I23" t="s">
        <v>244</v>
      </c>
    </row>
    <row r="24" spans="1:12">
      <c r="A24">
        <v>9</v>
      </c>
      <c r="B24" s="23">
        <f>B21*B23</f>
        <v>0</v>
      </c>
      <c r="C24" t="s">
        <v>119</v>
      </c>
    </row>
    <row r="25" spans="1:12">
      <c r="A25">
        <v>10</v>
      </c>
      <c r="B25" s="23">
        <f>'1040 W4 PLANNER 2026'!S94</f>
        <v>0</v>
      </c>
      <c r="C25" t="s">
        <v>120</v>
      </c>
    </row>
    <row r="26" spans="1:12">
      <c r="A26">
        <v>11</v>
      </c>
      <c r="B26" s="23">
        <f>MIN(B24,B25)</f>
        <v>0</v>
      </c>
      <c r="C26" t="s">
        <v>121</v>
      </c>
    </row>
    <row r="27" spans="1:12">
      <c r="B27">
        <f>IF(B22&lt;=0,0,B26)</f>
        <v>0</v>
      </c>
    </row>
    <row r="28" spans="1:12">
      <c r="A28" t="s">
        <v>112</v>
      </c>
      <c r="B28" s="34">
        <v>2026</v>
      </c>
    </row>
    <row r="29" spans="1:12">
      <c r="A29">
        <v>1</v>
      </c>
      <c r="B29" s="23">
        <f>'1040 W4 PLANNER 2026'!U4*2200</f>
        <v>0</v>
      </c>
      <c r="C29" t="s">
        <v>562</v>
      </c>
    </row>
    <row r="30" spans="1:12">
      <c r="B30" s="23">
        <f>'1040 W4 PLANNER 2026'!U5*500</f>
        <v>0</v>
      </c>
      <c r="C30" t="s">
        <v>261</v>
      </c>
    </row>
    <row r="31" spans="1:12">
      <c r="B31" s="23">
        <f>B29+B30</f>
        <v>0</v>
      </c>
      <c r="C31" t="s">
        <v>170</v>
      </c>
    </row>
    <row r="32" spans="1:12">
      <c r="A32">
        <v>2</v>
      </c>
      <c r="B32" s="23">
        <f>'1040 W4 PLANNER 2026'!S65</f>
        <v>0</v>
      </c>
      <c r="C32" t="s">
        <v>122</v>
      </c>
    </row>
    <row r="33" spans="1:3">
      <c r="A33">
        <v>3</v>
      </c>
      <c r="B33" s="23">
        <f>IF(D1=2,400000,200000)</f>
        <v>200000</v>
      </c>
      <c r="C33" t="s">
        <v>123</v>
      </c>
    </row>
    <row r="34" spans="1:3">
      <c r="A34">
        <v>4</v>
      </c>
      <c r="B34" s="23">
        <f>IF(B32&gt;B33,B32-B33,0)</f>
        <v>0</v>
      </c>
      <c r="C34" t="s">
        <v>124</v>
      </c>
    </row>
    <row r="35" spans="1:3">
      <c r="B35" s="23">
        <f>ROUND(B34/1000,0)*1000</f>
        <v>0</v>
      </c>
      <c r="C35" t="s">
        <v>125</v>
      </c>
    </row>
    <row r="36" spans="1:3">
      <c r="A36">
        <v>5</v>
      </c>
      <c r="B36" s="23">
        <f>B35*0.05</f>
        <v>0</v>
      </c>
      <c r="C36" t="s">
        <v>126</v>
      </c>
    </row>
    <row r="37" spans="1:3">
      <c r="A37">
        <v>6</v>
      </c>
      <c r="B37" s="23">
        <f>IF(B36&gt;B31,0,B31-B36)</f>
        <v>0</v>
      </c>
      <c r="C37" t="s">
        <v>127</v>
      </c>
    </row>
    <row r="38" spans="1:3">
      <c r="A38">
        <v>7</v>
      </c>
      <c r="B38" s="23">
        <f>'1040 W4 PLANNER 2026'!S94</f>
        <v>0</v>
      </c>
      <c r="C38" t="s">
        <v>128</v>
      </c>
    </row>
    <row r="39" spans="1:3">
      <c r="A39">
        <v>8</v>
      </c>
      <c r="B39" s="23">
        <f>SUM('1040 W4 PLANNER 2026'!S96:U99)</f>
        <v>0</v>
      </c>
      <c r="C39" t="s">
        <v>129</v>
      </c>
    </row>
    <row r="40" spans="1:3">
      <c r="A40">
        <v>9</v>
      </c>
      <c r="B40" s="23">
        <f>B38-B39</f>
        <v>0</v>
      </c>
      <c r="C40" t="s">
        <v>130</v>
      </c>
    </row>
    <row r="41" spans="1:3">
      <c r="A41">
        <v>10</v>
      </c>
      <c r="B41" s="23">
        <f>MIN(B37,B40)</f>
        <v>0</v>
      </c>
      <c r="C41" t="s">
        <v>131</v>
      </c>
    </row>
    <row r="42" spans="1:3">
      <c r="A42" t="s">
        <v>140</v>
      </c>
      <c r="B42" s="23">
        <f>IF(B41&lt;0,0,B41)</f>
        <v>0</v>
      </c>
    </row>
    <row r="43" spans="1:3">
      <c r="A43" s="34">
        <v>2026</v>
      </c>
      <c r="B43" s="23"/>
    </row>
    <row r="44" spans="1:3">
      <c r="A44" t="s">
        <v>174</v>
      </c>
      <c r="B44" s="23"/>
    </row>
    <row r="45" spans="1:3">
      <c r="A45">
        <v>1</v>
      </c>
      <c r="B45" s="23">
        <f>B29</f>
        <v>0</v>
      </c>
      <c r="C45" t="s">
        <v>262</v>
      </c>
    </row>
    <row r="46" spans="1:3">
      <c r="A46">
        <v>2</v>
      </c>
      <c r="B46" s="23">
        <f>MIN(B45,D10)</f>
        <v>0</v>
      </c>
      <c r="C46" t="s">
        <v>171</v>
      </c>
    </row>
    <row r="47" spans="1:3">
      <c r="A47">
        <v>3</v>
      </c>
      <c r="B47" s="23">
        <f>IF(B45&gt;B46,B45-B46,0)</f>
        <v>0</v>
      </c>
      <c r="C47" t="s">
        <v>172</v>
      </c>
    </row>
    <row r="48" spans="1:3">
      <c r="A48" t="s">
        <v>24</v>
      </c>
      <c r="B48" s="23">
        <v>1700</v>
      </c>
      <c r="C48" t="s">
        <v>458</v>
      </c>
    </row>
    <row r="49" spans="1:5">
      <c r="B49" s="23">
        <f>IF(B47&lt;B48,B47,B48)</f>
        <v>0</v>
      </c>
      <c r="C49" t="s">
        <v>246</v>
      </c>
    </row>
    <row r="50" spans="1:5">
      <c r="B50" s="19"/>
    </row>
    <row r="52" spans="1:5">
      <c r="B52" s="19"/>
    </row>
    <row r="53" spans="1:5">
      <c r="A53" s="28"/>
      <c r="B53" s="19"/>
      <c r="E53" s="34"/>
    </row>
    <row r="55" spans="1:5">
      <c r="B55" s="19"/>
    </row>
    <row r="56" spans="1:5">
      <c r="B56" s="19"/>
    </row>
    <row r="57" spans="1:5">
      <c r="B57" s="19"/>
    </row>
    <row r="58" spans="1:5">
      <c r="B58" s="23"/>
    </row>
  </sheetData>
  <dataValidations disablePrompts="1" count="1">
    <dataValidation type="whole" allowBlank="1" showInputMessage="1" showErrorMessage="1" error="Enter a number between 0 and 2_x000a_" prompt="Enter a number between 0 and 2" sqref="H18" xr:uid="{00000000-0002-0000-0400-000000000000}">
      <formula1>0</formula1>
      <formula2>2</formula2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K43"/>
  <sheetViews>
    <sheetView workbookViewId="0">
      <selection activeCell="K5" sqref="K5"/>
    </sheetView>
  </sheetViews>
  <sheetFormatPr defaultRowHeight="15"/>
  <cols>
    <col min="1" max="1" width="7.28515625" customWidth="1"/>
    <col min="2" max="2" width="13.85546875" customWidth="1"/>
    <col min="4" max="4" width="9.5703125" bestFit="1" customWidth="1"/>
    <col min="6" max="6" width="10.28515625" bestFit="1" customWidth="1"/>
    <col min="8" max="8" width="11.5703125" bestFit="1" customWidth="1"/>
  </cols>
  <sheetData>
    <row r="1" spans="1:11">
      <c r="A1" t="s">
        <v>132</v>
      </c>
      <c r="D1" t="s">
        <v>52</v>
      </c>
      <c r="E1" s="34">
        <f>'1040 W4 PLANNER 2026'!Q8</f>
        <v>1</v>
      </c>
      <c r="G1" t="s">
        <v>134</v>
      </c>
      <c r="I1" s="76" t="s">
        <v>581</v>
      </c>
      <c r="J1" s="34"/>
    </row>
    <row r="2" spans="1:11">
      <c r="H2" s="34">
        <f>'1040 W4 PLANNER 2026'!L116</f>
        <v>0</v>
      </c>
    </row>
    <row r="3" spans="1:11">
      <c r="A3">
        <v>1</v>
      </c>
      <c r="B3" s="38">
        <f>H11</f>
        <v>0</v>
      </c>
      <c r="C3" t="s">
        <v>133</v>
      </c>
    </row>
    <row r="4" spans="1:11">
      <c r="A4">
        <v>2</v>
      </c>
      <c r="B4" s="43">
        <f>H35</f>
        <v>0</v>
      </c>
      <c r="C4" t="s">
        <v>149</v>
      </c>
      <c r="G4" t="s">
        <v>79</v>
      </c>
    </row>
    <row r="5" spans="1:11">
      <c r="A5">
        <v>3</v>
      </c>
      <c r="B5" s="38">
        <f>'1040 W4 PLANNER 2026'!S65</f>
        <v>0</v>
      </c>
      <c r="C5" t="s">
        <v>122</v>
      </c>
      <c r="G5" t="s">
        <v>164</v>
      </c>
      <c r="H5" s="36">
        <f>'1040 W4 PLANNER 2026'!S21</f>
        <v>0</v>
      </c>
    </row>
    <row r="6" spans="1:11">
      <c r="A6">
        <v>4</v>
      </c>
      <c r="B6" s="23">
        <f>IF(B5=B3,1,0)</f>
        <v>1</v>
      </c>
      <c r="C6" t="s">
        <v>153</v>
      </c>
      <c r="G6" t="s">
        <v>165</v>
      </c>
      <c r="H6" s="36">
        <f>'1040 W4 PLANNER 2026'!S22</f>
        <v>0</v>
      </c>
      <c r="I6" t="s">
        <v>24</v>
      </c>
    </row>
    <row r="7" spans="1:11">
      <c r="A7" t="s">
        <v>135</v>
      </c>
      <c r="B7" s="23">
        <f>IF(E1=2,14100,8400)</f>
        <v>8400</v>
      </c>
      <c r="C7" t="s">
        <v>155</v>
      </c>
      <c r="G7" t="s">
        <v>166</v>
      </c>
      <c r="H7" s="36">
        <f>'1040 W4 PLANNER 2026'!S27</f>
        <v>0</v>
      </c>
    </row>
    <row r="8" spans="1:11">
      <c r="A8" t="s">
        <v>136</v>
      </c>
      <c r="B8" s="23">
        <f>IF(E1=2,24250,18350)</f>
        <v>18350</v>
      </c>
      <c r="C8" t="s">
        <v>155</v>
      </c>
      <c r="G8" t="s">
        <v>167</v>
      </c>
      <c r="H8" s="36">
        <f>'1040 W4 PLANNER 2026'!S28</f>
        <v>0</v>
      </c>
    </row>
    <row r="9" spans="1:11">
      <c r="A9" t="s">
        <v>135</v>
      </c>
      <c r="B9" s="23" t="b">
        <f>AND(H2=0,B5&lt;B7)</f>
        <v>1</v>
      </c>
      <c r="G9" t="s">
        <v>168</v>
      </c>
      <c r="H9" s="36">
        <f>'1040 W4 PLANNER 2026'!S45</f>
        <v>0</v>
      </c>
      <c r="K9" t="s">
        <v>24</v>
      </c>
    </row>
    <row r="10" spans="1:11">
      <c r="A10" t="s">
        <v>136</v>
      </c>
      <c r="B10" s="23" t="b">
        <f>IF(H2&gt;0,B8&gt;B5)</f>
        <v>0</v>
      </c>
      <c r="G10" t="s">
        <v>169</v>
      </c>
      <c r="H10" s="36">
        <f>'1040 W4 PLANNER 2026'!S46</f>
        <v>0</v>
      </c>
    </row>
    <row r="11" spans="1:11">
      <c r="A11" t="s">
        <v>137</v>
      </c>
      <c r="B11" s="23" t="b">
        <f>OR(B10=TRUE,B9=TRUE)</f>
        <v>1</v>
      </c>
      <c r="C11" t="s">
        <v>159</v>
      </c>
      <c r="G11" t="s">
        <v>170</v>
      </c>
      <c r="H11" s="36">
        <f>SUM(H5:H10)</f>
        <v>0</v>
      </c>
    </row>
    <row r="12" spans="1:11">
      <c r="B12" s="23"/>
    </row>
    <row r="13" spans="1:11">
      <c r="A13" t="s">
        <v>151</v>
      </c>
      <c r="B13" s="43">
        <f>H22</f>
        <v>0</v>
      </c>
      <c r="C13" t="s">
        <v>150</v>
      </c>
      <c r="F13" t="s">
        <v>160</v>
      </c>
    </row>
    <row r="14" spans="1:11">
      <c r="A14" t="s">
        <v>152</v>
      </c>
      <c r="B14" s="19">
        <f>IF(B6=1,B4,0)</f>
        <v>0</v>
      </c>
      <c r="C14" t="s">
        <v>154</v>
      </c>
      <c r="F14" t="b">
        <f>IF(B6=1,TRUE)</f>
        <v>1</v>
      </c>
    </row>
    <row r="15" spans="1:11">
      <c r="A15" t="s">
        <v>156</v>
      </c>
      <c r="B15" s="23">
        <f>IF(B11=TRUE,B4,0)</f>
        <v>0</v>
      </c>
      <c r="C15" t="s">
        <v>157</v>
      </c>
      <c r="F15" s="19" t="b">
        <f>B11</f>
        <v>1</v>
      </c>
    </row>
    <row r="16" spans="1:11">
      <c r="A16" t="s">
        <v>158</v>
      </c>
      <c r="B16" s="23">
        <f>MIN(B13,B4)</f>
        <v>0</v>
      </c>
      <c r="C16" t="s">
        <v>161</v>
      </c>
      <c r="F16" t="b">
        <f>NOT(B11)</f>
        <v>0</v>
      </c>
    </row>
    <row r="17" spans="1:8">
      <c r="A17" t="s">
        <v>162</v>
      </c>
      <c r="B17" s="43">
        <f>IF(F14=TRUE,B14,IF(F15=TRUE,B15,B16))</f>
        <v>0</v>
      </c>
      <c r="C17" t="s">
        <v>163</v>
      </c>
    </row>
    <row r="18" spans="1:8">
      <c r="B18" s="43"/>
    </row>
    <row r="19" spans="1:8">
      <c r="A19" s="34" t="s">
        <v>117</v>
      </c>
      <c r="B19" s="23"/>
    </row>
    <row r="20" spans="1:8">
      <c r="A20" t="s">
        <v>142</v>
      </c>
      <c r="B20" s="23"/>
    </row>
    <row r="21" spans="1:8">
      <c r="A21" t="s">
        <v>138</v>
      </c>
      <c r="B21" s="23"/>
      <c r="C21" t="s">
        <v>141</v>
      </c>
      <c r="D21" t="s">
        <v>141</v>
      </c>
      <c r="E21" t="s">
        <v>143</v>
      </c>
      <c r="G21" t="s">
        <v>144</v>
      </c>
      <c r="H21" t="s">
        <v>86</v>
      </c>
    </row>
    <row r="22" spans="1:8">
      <c r="A22">
        <v>0</v>
      </c>
      <c r="B22" s="23">
        <f>IF(B5&lt;8400,B5*0.0765,IF(B5&gt;19540,0,(19540-B5)*0.0765))</f>
        <v>0</v>
      </c>
      <c r="C22" t="b">
        <f>AND(B5&gt;8400,B5&lt;10650)</f>
        <v>0</v>
      </c>
      <c r="D22">
        <f>IF(C22=TRUE,664,B22)</f>
        <v>0</v>
      </c>
      <c r="E22">
        <f>IF(H2=0,D22,IF(H2=1,D23,IF(H2=2,D24,D25)))</f>
        <v>0</v>
      </c>
      <c r="G22">
        <f>IF(E1=2,E27,E22)</f>
        <v>0</v>
      </c>
      <c r="H22" s="38">
        <f>ROUND(G22,0)</f>
        <v>0</v>
      </c>
    </row>
    <row r="23" spans="1:8">
      <c r="A23">
        <v>1</v>
      </c>
      <c r="B23" s="23">
        <f>IF(B5&lt;12700,B5*0.34,IF(B5&gt;51593,0,(51593-B5)*0.1598))</f>
        <v>0</v>
      </c>
      <c r="C23" t="b">
        <f>AND(B5&gt;12700,B5&lt;23350)</f>
        <v>0</v>
      </c>
      <c r="D23" s="36">
        <f>IF(C23=TRUE,4427,B23)</f>
        <v>0</v>
      </c>
    </row>
    <row r="24" spans="1:8">
      <c r="A24">
        <v>2</v>
      </c>
      <c r="B24" s="23">
        <f>IF(B5&lt;17850,B5*0.4,IF(B5&gt;58629,0,(58629-B5)*0.2106))</f>
        <v>0</v>
      </c>
      <c r="C24" t="b">
        <f>AND(B5&gt;17400,B5&lt;23300)</f>
        <v>0</v>
      </c>
      <c r="D24">
        <f>IF(C24=TRUE,7316,B24)</f>
        <v>0</v>
      </c>
    </row>
    <row r="25" spans="1:8">
      <c r="A25" s="37" t="s">
        <v>139</v>
      </c>
      <c r="B25" s="23">
        <f>IF(B5&lt;17900,B5*0.45,IF(B5&gt;62974,0,(62974-B5)*0.2106))</f>
        <v>0</v>
      </c>
      <c r="C25" t="b">
        <f>AND(B5&gt;17900,B5&lt;23350)</f>
        <v>0</v>
      </c>
      <c r="D25">
        <f>IF(C25=TRUE,8231,B25)</f>
        <v>0</v>
      </c>
    </row>
    <row r="26" spans="1:8">
      <c r="A26" t="s">
        <v>96</v>
      </c>
      <c r="B26" s="23"/>
    </row>
    <row r="27" spans="1:8">
      <c r="A27">
        <v>0</v>
      </c>
      <c r="B27" s="23">
        <f>IF(B5&lt;8450,B5*0.0765,IF(B5&gt;26820,0,(26820-B5)*0.0765))</f>
        <v>0</v>
      </c>
      <c r="C27" t="b">
        <f>AND(B5&gt;8450,B5&lt;17700)</f>
        <v>0</v>
      </c>
      <c r="D27">
        <f>IF(C27=TRUE,664,B27)</f>
        <v>0</v>
      </c>
      <c r="E27">
        <f>IF(H2=0,D27,IF(H2=1,D28,IF(H2=2,D29,D30)))</f>
        <v>0</v>
      </c>
    </row>
    <row r="28" spans="1:8">
      <c r="A28">
        <v>1</v>
      </c>
      <c r="B28" s="23">
        <f>IF(B5&lt;12700,B5*0.34,IF(B5&gt;58863,0,(58863-B5)*0.1598))</f>
        <v>0</v>
      </c>
      <c r="C28" t="b">
        <f>AND(B5&gt;12700,B5&lt;30450)</f>
        <v>0</v>
      </c>
      <c r="D28" s="36">
        <f>IF(C28=TRUE,4427,B28)</f>
        <v>0</v>
      </c>
    </row>
    <row r="29" spans="1:8">
      <c r="A29">
        <v>2</v>
      </c>
      <c r="B29" s="23">
        <f>IF(B5&lt;17850,B5*0.4,IF(B5&gt;65899,0,(65899-B5)*0.2106))</f>
        <v>0</v>
      </c>
      <c r="C29" t="b">
        <f>AND(B5&gt;17850,B5&lt;30450)</f>
        <v>0</v>
      </c>
      <c r="D29">
        <f>IF(C29=TRUE,7316,B29)</f>
        <v>0</v>
      </c>
    </row>
    <row r="30" spans="1:8">
      <c r="A30" s="37" t="s">
        <v>139</v>
      </c>
      <c r="B30" s="23">
        <f>IF(B5&lt;17850,B5*0.45,IF(B5&gt;70224,0,(70224-B5)*0.2106))</f>
        <v>0</v>
      </c>
      <c r="C30" t="b">
        <f>AND(B5&gt;17850,B5&lt;30550)</f>
        <v>0</v>
      </c>
      <c r="D30">
        <f>IF(C30=TRUE,8231,B30)</f>
        <v>0</v>
      </c>
    </row>
    <row r="31" spans="1:8">
      <c r="B31" s="23"/>
    </row>
    <row r="32" spans="1:8">
      <c r="B32" s="23"/>
    </row>
    <row r="33" spans="1:8">
      <c r="A33" s="34" t="s">
        <v>133</v>
      </c>
      <c r="B33" s="38"/>
    </row>
    <row r="34" spans="1:8">
      <c r="A34" t="s">
        <v>138</v>
      </c>
      <c r="B34" s="23"/>
      <c r="C34" t="s">
        <v>141</v>
      </c>
      <c r="D34" t="s">
        <v>141</v>
      </c>
      <c r="E34" t="s">
        <v>143</v>
      </c>
      <c r="G34" t="s">
        <v>144</v>
      </c>
      <c r="H34" t="s">
        <v>86</v>
      </c>
    </row>
    <row r="35" spans="1:8">
      <c r="A35">
        <v>0</v>
      </c>
      <c r="B35" s="23">
        <f>IF(B3&lt;8400,B3*0.0765,IF(B3&gt;19540,0,(19540-B3)*0.0765))</f>
        <v>0</v>
      </c>
      <c r="C35" t="b">
        <f>AND(B3&gt;8400,B3&lt;10650)</f>
        <v>0</v>
      </c>
      <c r="D35">
        <f>IF(C35=TRUE,664,B35)</f>
        <v>0</v>
      </c>
      <c r="E35">
        <f>IF(H2=0,D35,IF(H2=1,D36,IF(H2=2,D37,D38)))</f>
        <v>0</v>
      </c>
      <c r="G35">
        <f>IF(E1=2,E40,E35)</f>
        <v>0</v>
      </c>
      <c r="H35" s="38">
        <f>ROUND(G35,0)</f>
        <v>0</v>
      </c>
    </row>
    <row r="36" spans="1:8">
      <c r="A36">
        <v>1</v>
      </c>
      <c r="B36" s="23">
        <f>IF(B3&lt;12700,B38*0.34,IF(B3&gt;51593,0,(51593-B3)*0.1598))</f>
        <v>0</v>
      </c>
      <c r="C36" t="b">
        <f>AND(B3&gt;12700,B3&lt;23350)</f>
        <v>0</v>
      </c>
      <c r="D36">
        <f>IF(C36=TRUE,4427,B36)</f>
        <v>0</v>
      </c>
    </row>
    <row r="37" spans="1:8">
      <c r="A37">
        <v>2</v>
      </c>
      <c r="B37" s="23">
        <f>IF(B3&lt;17850,B3*0.4,IF(B3&gt;58629,0,(58629-B3)*0.2106))</f>
        <v>0</v>
      </c>
      <c r="C37" t="b">
        <f>AND(B3&gt;17400,B3&lt;23300)</f>
        <v>0</v>
      </c>
      <c r="D37">
        <f>IF(C37=TRUE,7316,B37)</f>
        <v>0</v>
      </c>
    </row>
    <row r="38" spans="1:8">
      <c r="A38" s="37" t="s">
        <v>139</v>
      </c>
      <c r="B38" s="23">
        <f>IF(B3&lt;17900,B3*0.45,IF(B3&gt;62974,0,(62974-B3)*0.2106))</f>
        <v>0</v>
      </c>
      <c r="C38" t="b">
        <f>AND(B3&gt;17900,B3&lt;23350)</f>
        <v>0</v>
      </c>
      <c r="D38">
        <f>IF(C38=TRUE,8231,B38)</f>
        <v>0</v>
      </c>
    </row>
    <row r="39" spans="1:8">
      <c r="A39" t="s">
        <v>96</v>
      </c>
      <c r="B39" s="23"/>
    </row>
    <row r="40" spans="1:8">
      <c r="A40">
        <v>0</v>
      </c>
      <c r="B40" s="23">
        <f>IF(B3&lt;8450,B3*0.0765,IF(B3&gt;26820,0,(26820-B3)*0.0765))</f>
        <v>0</v>
      </c>
      <c r="C40" t="b">
        <f>AND(B3&gt;8450,B3&lt;17700)</f>
        <v>0</v>
      </c>
      <c r="D40">
        <f>IF(C40=TRUE,664,B40)</f>
        <v>0</v>
      </c>
      <c r="E40">
        <f>IF(H2=0,D40,IF(H2=1,D41,IF(H2=2,D42,D43)))</f>
        <v>0</v>
      </c>
    </row>
    <row r="41" spans="1:8">
      <c r="A41">
        <v>1</v>
      </c>
      <c r="B41" s="23">
        <f>IF(B3&lt;12700,B3*0.34,IF(B3&gt;58863,0,(58863-B3)*0.1598))</f>
        <v>0</v>
      </c>
      <c r="C41" t="b">
        <f>AND(B3&gt;12700,B3&lt;30450)</f>
        <v>0</v>
      </c>
      <c r="D41" s="36">
        <f>IF(C41=TRUE,4427,B41)</f>
        <v>0</v>
      </c>
    </row>
    <row r="42" spans="1:8">
      <c r="A42">
        <v>2</v>
      </c>
      <c r="B42" s="23">
        <f>IF(B3&lt;17850,B3*0.4,IF(B3&gt;65899,0,(65899-B3)*0.2106))</f>
        <v>0</v>
      </c>
      <c r="C42" t="b">
        <f>AND(B3&gt;17850,B3&lt;30450)</f>
        <v>0</v>
      </c>
      <c r="D42">
        <f>IF(C42=TRUE,7316,B42)</f>
        <v>0</v>
      </c>
    </row>
    <row r="43" spans="1:8">
      <c r="A43" s="37" t="s">
        <v>139</v>
      </c>
      <c r="B43" s="23">
        <f>IF(B3&lt;17850,B3*0.45,IF(B3&gt;70224,0,(70224-B3)*0.2106))</f>
        <v>0</v>
      </c>
      <c r="C43" t="b">
        <f>AND(B3&gt;17850,B3&lt;30550)</f>
        <v>0</v>
      </c>
      <c r="D43">
        <f>IF(C43=TRUE,8231,B43)</f>
        <v>0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Q40"/>
  <sheetViews>
    <sheetView topLeftCell="A9" workbookViewId="0">
      <selection activeCell="C25" sqref="C25"/>
    </sheetView>
  </sheetViews>
  <sheetFormatPr defaultRowHeight="15"/>
  <cols>
    <col min="1" max="1" width="7.28515625" customWidth="1"/>
    <col min="2" max="2" width="33.5703125" customWidth="1"/>
    <col min="4" max="4" width="10.28515625" bestFit="1" customWidth="1"/>
    <col min="7" max="7" width="10.5703125" bestFit="1" customWidth="1"/>
    <col min="11" max="11" width="10" customWidth="1"/>
    <col min="14" max="14" width="10.5703125" bestFit="1" customWidth="1"/>
    <col min="16" max="16" width="12.5703125" bestFit="1" customWidth="1"/>
  </cols>
  <sheetData>
    <row r="1" spans="1:15" ht="15.75" thickBot="1">
      <c r="C1" s="150">
        <v>45663</v>
      </c>
    </row>
    <row r="2" spans="1:15">
      <c r="F2" s="104"/>
      <c r="G2" s="105"/>
      <c r="H2" s="105"/>
      <c r="I2" s="105"/>
      <c r="J2" s="105"/>
      <c r="K2" s="105"/>
      <c r="L2" s="105"/>
      <c r="M2" s="105"/>
      <c r="N2" s="105"/>
      <c r="O2" s="106"/>
    </row>
    <row r="3" spans="1:15">
      <c r="F3" s="107" t="s">
        <v>205</v>
      </c>
      <c r="L3" t="s">
        <v>198</v>
      </c>
      <c r="O3" s="108"/>
    </row>
    <row r="4" spans="1:15">
      <c r="A4" t="s">
        <v>176</v>
      </c>
      <c r="B4" s="44" t="s">
        <v>177</v>
      </c>
      <c r="C4" s="2"/>
      <c r="D4" s="2"/>
      <c r="F4" s="107"/>
      <c r="K4" t="s">
        <v>95</v>
      </c>
      <c r="L4">
        <f>D5</f>
        <v>1</v>
      </c>
      <c r="O4" s="108"/>
    </row>
    <row r="5" spans="1:15">
      <c r="A5" s="39">
        <v>1</v>
      </c>
      <c r="B5" s="2" t="s">
        <v>178</v>
      </c>
      <c r="C5" s="2"/>
      <c r="D5" s="48">
        <f>'1040 W4 PLANNER 2026'!Q8</f>
        <v>1</v>
      </c>
      <c r="F5" s="107"/>
      <c r="K5">
        <v>1</v>
      </c>
      <c r="L5">
        <f>IF(L$4=1,25000,0)</f>
        <v>25000</v>
      </c>
      <c r="O5" s="108"/>
    </row>
    <row r="6" spans="1:15">
      <c r="A6" s="39">
        <v>2</v>
      </c>
      <c r="B6" s="2" t="s">
        <v>179</v>
      </c>
      <c r="C6" s="2"/>
      <c r="D6" s="272">
        <f>SUM('1040 W4 PLANNER 2026'!U4+'1040 W4 PLANNER 2026'!U5)</f>
        <v>0</v>
      </c>
      <c r="E6" s="273"/>
      <c r="F6" s="107"/>
      <c r="K6">
        <v>2</v>
      </c>
      <c r="L6">
        <f>IF(L$4=2,32000,0)</f>
        <v>0</v>
      </c>
      <c r="O6" s="108"/>
    </row>
    <row r="7" spans="1:15">
      <c r="A7" s="39"/>
      <c r="B7" s="2" t="s">
        <v>180</v>
      </c>
      <c r="C7" s="2"/>
      <c r="D7" s="48">
        <f>'1040 W4 PLANNER 2026'!P4</f>
        <v>0</v>
      </c>
      <c r="F7" s="107"/>
      <c r="K7">
        <v>3</v>
      </c>
      <c r="L7">
        <f>IF(L$4=3,16000,0)</f>
        <v>0</v>
      </c>
      <c r="O7" s="108"/>
    </row>
    <row r="8" spans="1:15">
      <c r="A8" s="39"/>
      <c r="B8" s="2" t="s">
        <v>181</v>
      </c>
      <c r="C8" s="2"/>
      <c r="D8" s="48">
        <f>'1040 W4 PLANNER 2026'!P5</f>
        <v>0</v>
      </c>
      <c r="F8" s="107"/>
      <c r="K8">
        <v>4</v>
      </c>
      <c r="L8">
        <f>IF(L$4=4,32000,0)</f>
        <v>0</v>
      </c>
      <c r="O8" s="108"/>
    </row>
    <row r="9" spans="1:15">
      <c r="A9" s="39">
        <v>4</v>
      </c>
      <c r="B9" s="2" t="s">
        <v>182</v>
      </c>
      <c r="C9" s="25"/>
      <c r="D9" s="49">
        <f>'1040 W4 PLANNER 2026'!S65</f>
        <v>0</v>
      </c>
      <c r="F9" s="107"/>
      <c r="K9">
        <v>5</v>
      </c>
      <c r="L9">
        <f>IF(L$4=5,32000,0)</f>
        <v>0</v>
      </c>
      <c r="O9" s="108"/>
    </row>
    <row r="10" spans="1:15">
      <c r="A10" s="39">
        <v>5</v>
      </c>
      <c r="B10" s="2" t="s">
        <v>183</v>
      </c>
      <c r="C10" s="25"/>
      <c r="D10" s="49">
        <f>'1040 W4 PLANNER 2026'!S147</f>
        <v>0</v>
      </c>
      <c r="F10" s="107"/>
      <c r="L10" s="135">
        <f>SUM(L5:L9)</f>
        <v>25000</v>
      </c>
      <c r="N10" t="s">
        <v>114</v>
      </c>
      <c r="O10" s="108"/>
    </row>
    <row r="11" spans="1:15">
      <c r="A11" s="39">
        <v>7</v>
      </c>
      <c r="B11" s="2" t="s">
        <v>414</v>
      </c>
      <c r="C11" s="2"/>
      <c r="D11" s="49">
        <f>'1040 W4 PLANNER 2026'!S25</f>
        <v>0</v>
      </c>
      <c r="F11" s="107"/>
      <c r="K11" t="s">
        <v>199</v>
      </c>
      <c r="L11" t="s">
        <v>24</v>
      </c>
      <c r="N11" s="111">
        <f>D9+D10</f>
        <v>0</v>
      </c>
      <c r="O11" s="108"/>
    </row>
    <row r="12" spans="1:15">
      <c r="A12" s="39">
        <v>8</v>
      </c>
      <c r="B12" s="2" t="s">
        <v>184</v>
      </c>
      <c r="C12" s="25"/>
      <c r="D12" s="49" cm="1">
        <f t="array" ref="D12:F12">'1040 W4 PLANNER 2026'!S149:U149</f>
        <v>0</v>
      </c>
      <c r="E12">
        <v>0</v>
      </c>
      <c r="F12" s="107">
        <v>0</v>
      </c>
      <c r="G12" t="s">
        <v>200</v>
      </c>
      <c r="H12" t="s">
        <v>201</v>
      </c>
      <c r="I12" s="29" t="s">
        <v>202</v>
      </c>
      <c r="J12" s="30">
        <v>0.06</v>
      </c>
      <c r="K12" t="s">
        <v>116</v>
      </c>
      <c r="L12" t="s">
        <v>24</v>
      </c>
      <c r="N12" s="136">
        <f>L10</f>
        <v>25000</v>
      </c>
      <c r="O12" s="108"/>
    </row>
    <row r="13" spans="1:15">
      <c r="A13" s="39">
        <v>9</v>
      </c>
      <c r="B13" s="2" t="s">
        <v>185</v>
      </c>
      <c r="C13" s="25"/>
      <c r="D13" s="25">
        <f>D9+D10-D11-D12</f>
        <v>0</v>
      </c>
      <c r="F13" s="107" t="s">
        <v>203</v>
      </c>
      <c r="G13">
        <f>D7</f>
        <v>0</v>
      </c>
      <c r="H13" s="19">
        <f>C28</f>
        <v>0</v>
      </c>
      <c r="I13">
        <f>IF(G13&gt;64,450,IF(G13&gt;54,288,0))</f>
        <v>0</v>
      </c>
      <c r="J13">
        <f>0.06*H13</f>
        <v>0</v>
      </c>
      <c r="K13">
        <f>IF(G13&gt;64,450,IF(I13&gt;J13,J13,I13))</f>
        <v>0</v>
      </c>
      <c r="N13" s="111">
        <f>IF(N12&lt;N11,N11-N12,0)</f>
        <v>0</v>
      </c>
      <c r="O13" s="108"/>
    </row>
    <row r="14" spans="1:15">
      <c r="A14" s="39">
        <v>10</v>
      </c>
      <c r="B14" s="2" t="s">
        <v>582</v>
      </c>
      <c r="C14" s="25"/>
      <c r="D14" s="25">
        <f>D13*0.045</f>
        <v>0</v>
      </c>
      <c r="F14" s="107" t="s">
        <v>204</v>
      </c>
      <c r="G14">
        <f>D8</f>
        <v>0</v>
      </c>
      <c r="H14" s="19">
        <f>C29</f>
        <v>0</v>
      </c>
      <c r="I14">
        <f>IF(G14&gt;64,450,IF(G14&gt;54,288,0))</f>
        <v>0</v>
      </c>
      <c r="J14">
        <f>0.06*H14</f>
        <v>0</v>
      </c>
      <c r="K14">
        <f>IF(G14&gt;64,450,IF(I14&gt;J14,J14,I14))</f>
        <v>0</v>
      </c>
      <c r="N14" s="137">
        <f>ROUND(N13*0.025,0)</f>
        <v>0</v>
      </c>
      <c r="O14" s="108"/>
    </row>
    <row r="15" spans="1:15">
      <c r="A15" s="6"/>
      <c r="C15" s="23"/>
      <c r="D15" s="23"/>
      <c r="F15" s="107"/>
      <c r="J15" t="s">
        <v>170</v>
      </c>
      <c r="K15">
        <f>SUM(K13:K14)</f>
        <v>0</v>
      </c>
      <c r="O15" s="108"/>
    </row>
    <row r="16" spans="1:15">
      <c r="A16" s="39">
        <v>11</v>
      </c>
      <c r="B16" s="2" t="s">
        <v>583</v>
      </c>
      <c r="C16" s="25">
        <f>2111*D6</f>
        <v>0</v>
      </c>
      <c r="D16" s="25" t="s">
        <v>24</v>
      </c>
      <c r="F16" s="107"/>
      <c r="J16" t="s">
        <v>198</v>
      </c>
      <c r="K16" s="138">
        <f>N14</f>
        <v>0</v>
      </c>
      <c r="O16" s="108"/>
    </row>
    <row r="17" spans="1:17">
      <c r="A17" s="39">
        <v>12</v>
      </c>
      <c r="B17" s="2" t="s">
        <v>186</v>
      </c>
      <c r="C17" s="49">
        <f>'1040 W4 PLANNER 2026'!S83</f>
        <v>16100</v>
      </c>
      <c r="D17" s="25"/>
      <c r="F17" s="107"/>
      <c r="J17" t="s">
        <v>101</v>
      </c>
      <c r="K17" s="140">
        <f>IF(K15-K16&gt;0,K15-K16,0)</f>
        <v>0</v>
      </c>
      <c r="O17" s="108"/>
    </row>
    <row r="18" spans="1:17" ht="15.75" thickBot="1">
      <c r="A18" s="39">
        <v>14</v>
      </c>
      <c r="B18" s="2" t="s">
        <v>187</v>
      </c>
      <c r="C18" s="49" cm="1">
        <f t="array" ref="C18:E18">IF('1040 W4 PLANNER 2026'!S81:U81&gt;'1040 W4 PLANNER 2026'!S83:U83,'1040 W4 PLANNER 2026'!S73:U73,0)</f>
        <v>0</v>
      </c>
      <c r="D18" s="25">
        <v>0</v>
      </c>
      <c r="E18">
        <v>0</v>
      </c>
      <c r="F18" s="119"/>
      <c r="G18" s="120"/>
      <c r="H18" s="120"/>
      <c r="I18" s="120"/>
      <c r="J18" s="120"/>
      <c r="K18" s="139"/>
      <c r="L18" s="120"/>
      <c r="M18" s="120"/>
      <c r="N18" s="120"/>
      <c r="O18" s="121"/>
    </row>
    <row r="19" spans="1:17" ht="15.75" thickBot="1">
      <c r="A19" s="39">
        <v>15</v>
      </c>
      <c r="B19" s="2" t="s">
        <v>188</v>
      </c>
      <c r="C19" s="25">
        <f>C16+C17-C18</f>
        <v>16100</v>
      </c>
      <c r="D19" s="25"/>
      <c r="K19" s="19"/>
    </row>
    <row r="20" spans="1:17">
      <c r="A20" s="39">
        <v>16</v>
      </c>
      <c r="B20" s="2" t="s">
        <v>189</v>
      </c>
      <c r="C20" s="25">
        <f>C19*0.06</f>
        <v>966</v>
      </c>
      <c r="D20" s="25"/>
      <c r="F20" t="s">
        <v>124</v>
      </c>
      <c r="J20" s="104" t="s">
        <v>444</v>
      </c>
      <c r="K20" s="105"/>
      <c r="L20" s="105"/>
      <c r="M20" s="106"/>
      <c r="O20" s="104" t="s">
        <v>466</v>
      </c>
      <c r="P20" s="105"/>
      <c r="Q20" s="106"/>
    </row>
    <row r="21" spans="1:17">
      <c r="A21" s="6"/>
      <c r="C21" s="23"/>
      <c r="D21" s="23"/>
      <c r="F21" t="s">
        <v>95</v>
      </c>
      <c r="G21">
        <f>D5</f>
        <v>1</v>
      </c>
      <c r="J21" s="107">
        <v>1</v>
      </c>
      <c r="K21" s="113">
        <f>'1040 W4 PLANNER 2026'!S48</f>
        <v>0</v>
      </c>
      <c r="L21" t="s">
        <v>445</v>
      </c>
      <c r="M21" s="108"/>
      <c r="O21" s="107">
        <v>1</v>
      </c>
      <c r="P21">
        <f>'1040 W4 PLANNER 2026'!U9</f>
        <v>0</v>
      </c>
      <c r="Q21" s="108" t="s">
        <v>584</v>
      </c>
    </row>
    <row r="22" spans="1:17">
      <c r="A22" s="39">
        <v>17</v>
      </c>
      <c r="B22" s="2" t="s">
        <v>190</v>
      </c>
      <c r="C22" s="25">
        <f>G27</f>
        <v>17652</v>
      </c>
      <c r="D22" s="25"/>
      <c r="F22">
        <v>1</v>
      </c>
      <c r="G22">
        <f>IF(G$21=1,17652,0)</f>
        <v>17652</v>
      </c>
      <c r="J22" s="107">
        <v>5</v>
      </c>
      <c r="K22" s="113">
        <f>D9+D10</f>
        <v>0</v>
      </c>
      <c r="L22" t="s">
        <v>446</v>
      </c>
      <c r="M22" s="108"/>
      <c r="O22" s="107">
        <v>2</v>
      </c>
      <c r="P22">
        <f>P21*1000</f>
        <v>0</v>
      </c>
      <c r="Q22" s="108" t="s">
        <v>467</v>
      </c>
    </row>
    <row r="23" spans="1:17">
      <c r="A23" s="39">
        <v>18</v>
      </c>
      <c r="B23" s="2" t="s">
        <v>463</v>
      </c>
      <c r="C23" s="25">
        <f>IF(D13-C22&gt;0,D13-C22,0)</f>
        <v>0</v>
      </c>
      <c r="D23" s="25"/>
      <c r="F23">
        <v>2</v>
      </c>
      <c r="G23">
        <f>IF(G$21=2,35304,0)</f>
        <v>0</v>
      </c>
      <c r="J23" s="107"/>
      <c r="K23" s="113"/>
      <c r="M23" s="108"/>
      <c r="O23" s="107">
        <v>3</v>
      </c>
      <c r="P23" s="113">
        <f>'1040 W4 PLANNER 2026'!S146+'1040 W4 PLANNER 2026'!S147</f>
        <v>0</v>
      </c>
      <c r="Q23" s="108"/>
    </row>
    <row r="24" spans="1:17">
      <c r="A24" s="39">
        <v>19</v>
      </c>
      <c r="B24" s="2" t="s">
        <v>191</v>
      </c>
      <c r="C24" s="25">
        <f>C23*0.013</f>
        <v>0</v>
      </c>
      <c r="D24" s="25"/>
      <c r="F24">
        <v>3</v>
      </c>
      <c r="G24">
        <f>IF(G$21=3,17652,0)</f>
        <v>0</v>
      </c>
      <c r="J24" s="107">
        <v>7</v>
      </c>
      <c r="K24" s="113">
        <f>K22</f>
        <v>0</v>
      </c>
      <c r="M24" s="108"/>
      <c r="O24" s="107">
        <v>4</v>
      </c>
      <c r="P24" s="19">
        <f>P23</f>
        <v>0</v>
      </c>
      <c r="Q24" s="108"/>
    </row>
    <row r="25" spans="1:17">
      <c r="A25" s="39">
        <v>17</v>
      </c>
      <c r="B25" s="2" t="s">
        <v>464</v>
      </c>
      <c r="C25" s="25">
        <f>IF(C20-C24&gt;0,C20-C24,0)</f>
        <v>966</v>
      </c>
      <c r="D25" s="25"/>
      <c r="F25">
        <v>4</v>
      </c>
      <c r="G25">
        <f>IF(G$21=4,26478,0)</f>
        <v>0</v>
      </c>
      <c r="J25" s="107">
        <v>8</v>
      </c>
      <c r="K25" s="113">
        <f>'1040 W4 PLANNER 2026'!K23</f>
        <v>0</v>
      </c>
      <c r="L25" t="s">
        <v>447</v>
      </c>
      <c r="M25" s="108"/>
      <c r="O25" s="107">
        <v>5</v>
      </c>
      <c r="P25">
        <f>'1040 W4 PLANNER 2026'!K23</f>
        <v>0</v>
      </c>
      <c r="Q25" s="108"/>
    </row>
    <row r="26" spans="1:17">
      <c r="A26" s="39">
        <v>22</v>
      </c>
      <c r="B26" s="2" t="s">
        <v>465</v>
      </c>
      <c r="C26" s="25"/>
      <c r="D26" s="25">
        <f>IF(D14&gt;C25,D14-C25,0)</f>
        <v>0</v>
      </c>
      <c r="F26">
        <v>5</v>
      </c>
      <c r="G26">
        <f>IF(G$21=5,35304,0)</f>
        <v>0</v>
      </c>
      <c r="J26" s="107">
        <v>9</v>
      </c>
      <c r="K26" s="113">
        <f>K25+K24</f>
        <v>0</v>
      </c>
      <c r="M26" s="108"/>
      <c r="O26" s="107">
        <v>6</v>
      </c>
      <c r="P26" s="19">
        <f>P24-P25</f>
        <v>0</v>
      </c>
      <c r="Q26" s="108"/>
    </row>
    <row r="27" spans="1:17">
      <c r="A27" s="6"/>
      <c r="C27" s="23"/>
      <c r="D27" s="23"/>
      <c r="G27" s="38">
        <f>SUM(G22:G26)</f>
        <v>17652</v>
      </c>
      <c r="J27" s="107">
        <v>7</v>
      </c>
      <c r="K27" s="113">
        <f>ROUND(K21*0.045,0)</f>
        <v>0</v>
      </c>
      <c r="L27">
        <v>4.4999999999999998E-2</v>
      </c>
      <c r="M27" s="108"/>
      <c r="O27" s="107">
        <v>7</v>
      </c>
      <c r="P27" s="19">
        <f>P25+P26</f>
        <v>0</v>
      </c>
      <c r="Q27" s="108"/>
    </row>
    <row r="28" spans="1:17">
      <c r="A28" s="39"/>
      <c r="B28" s="2" t="s">
        <v>192</v>
      </c>
      <c r="C28" s="45">
        <f>'1040 W4 PLANNER 2026'!S40</f>
        <v>0</v>
      </c>
      <c r="D28" s="2"/>
      <c r="J28" s="107">
        <v>8</v>
      </c>
      <c r="K28" s="113">
        <f>IF(D5=1,54000,IF(D5=3,45000,IF(D5=2,90000,IF(D5=4,90000,IF(D5=5,90000)))))</f>
        <v>54000</v>
      </c>
      <c r="L28" t="s">
        <v>448</v>
      </c>
      <c r="M28" s="108"/>
      <c r="O28" s="107">
        <v>8</v>
      </c>
      <c r="P28" s="23">
        <f>IF(D5=1,43000,IF(D5=2,54000,IF(D5=3,27000,IF(D5=4,43000,IF(D5=5,43000)))))</f>
        <v>43000</v>
      </c>
      <c r="Q28" s="108"/>
    </row>
    <row r="29" spans="1:17">
      <c r="A29" s="39"/>
      <c r="B29" s="2" t="s">
        <v>193</v>
      </c>
      <c r="C29" s="45">
        <f>'1040 W4 PLANNER 2026'!S41</f>
        <v>0</v>
      </c>
      <c r="D29" s="2"/>
      <c r="J29" s="107">
        <v>9</v>
      </c>
      <c r="K29" s="113">
        <f>IF((K26-K28)&lt;0,0,(K26-K28))</f>
        <v>0</v>
      </c>
      <c r="L29" s="29" t="s">
        <v>449</v>
      </c>
      <c r="M29" s="108"/>
      <c r="O29" s="107">
        <v>9</v>
      </c>
      <c r="P29" s="19">
        <f>IF(P27-P28&gt;0, P27-P28,0)</f>
        <v>0</v>
      </c>
      <c r="Q29" s="108"/>
    </row>
    <row r="30" spans="1:17">
      <c r="A30" s="6"/>
      <c r="C30" s="23"/>
      <c r="D30" s="23"/>
      <c r="J30" s="107">
        <v>10</v>
      </c>
      <c r="K30" s="113">
        <f>K29*0.025</f>
        <v>0</v>
      </c>
      <c r="L30" t="s">
        <v>450</v>
      </c>
      <c r="M30" s="108"/>
      <c r="O30" s="107">
        <v>10</v>
      </c>
      <c r="P30" s="20">
        <f>P29*0.1</f>
        <v>0</v>
      </c>
      <c r="Q30" s="108" t="s">
        <v>86</v>
      </c>
    </row>
    <row r="31" spans="1:17" ht="15.75" thickBot="1">
      <c r="A31" s="39">
        <v>21</v>
      </c>
      <c r="B31" s="2" t="s">
        <v>453</v>
      </c>
      <c r="C31" s="25"/>
      <c r="D31" s="141">
        <f>K17+K31+M40+O37+Q31</f>
        <v>0</v>
      </c>
      <c r="J31" s="107">
        <v>11</v>
      </c>
      <c r="K31" s="142">
        <f>IF(K27&gt;K30,K27-K30,0)</f>
        <v>0</v>
      </c>
      <c r="L31" s="29" t="s">
        <v>451</v>
      </c>
      <c r="M31" s="108" t="s">
        <v>199</v>
      </c>
      <c r="O31" s="119">
        <v>11</v>
      </c>
      <c r="P31" s="120">
        <f>IF(P22-P30&gt;0,P22-P30,0)</f>
        <v>0</v>
      </c>
      <c r="Q31" s="144">
        <f>ROUND(P31,0)</f>
        <v>0</v>
      </c>
    </row>
    <row r="32" spans="1:17" ht="15.75" thickBot="1">
      <c r="A32" s="39">
        <v>22</v>
      </c>
      <c r="B32" s="2" t="s">
        <v>194</v>
      </c>
      <c r="C32" s="25"/>
      <c r="D32" s="53">
        <f>IF(D26-D31&gt;0,D26-D31,0)</f>
        <v>0</v>
      </c>
      <c r="G32">
        <f>4025*0.75</f>
        <v>3018.75</v>
      </c>
      <c r="J32" s="119"/>
      <c r="K32" s="120"/>
      <c r="L32" s="120"/>
      <c r="M32" s="121"/>
    </row>
    <row r="33" spans="1:16" ht="15.75" thickBot="1">
      <c r="A33" s="39">
        <v>32</v>
      </c>
      <c r="B33" s="2" t="s">
        <v>195</v>
      </c>
      <c r="C33" s="45">
        <f>'1040 W4 PLANNER 2026'!S145</f>
        <v>0</v>
      </c>
      <c r="D33" s="2"/>
      <c r="G33" t="s">
        <v>455</v>
      </c>
      <c r="O33" s="145" t="s">
        <v>132</v>
      </c>
      <c r="P33" t="s">
        <v>459</v>
      </c>
    </row>
    <row r="34" spans="1:16">
      <c r="A34" s="39">
        <v>35</v>
      </c>
      <c r="B34" s="2" t="s">
        <v>196</v>
      </c>
      <c r="C34" s="25"/>
      <c r="D34" s="46">
        <f>IF(D32-C33&gt;0,D32-C33,0)</f>
        <v>0</v>
      </c>
      <c r="G34" s="104">
        <f>'1040 W4 PLANNER 2026'!C33</f>
        <v>0</v>
      </c>
      <c r="H34" s="105">
        <f>'1040 W4 PLANNER 2026'!G33</f>
        <v>0</v>
      </c>
      <c r="I34" s="105">
        <f>'1040 W4 PLANNER 2026'!H33</f>
        <v>0</v>
      </c>
      <c r="J34" s="105">
        <f>'1040 W4 PLANNER 2026'!I33</f>
        <v>0</v>
      </c>
      <c r="K34" s="105">
        <f>'1040 W4 PLANNER 2026'!O33</f>
        <v>0</v>
      </c>
      <c r="L34" s="105">
        <f>K34*J34</f>
        <v>0</v>
      </c>
      <c r="M34" s="106">
        <f>IF(H34="X",L34,0)</f>
        <v>0</v>
      </c>
      <c r="O34" s="146">
        <f>'1040 W4 PLANNER 2026'!S116</f>
        <v>0</v>
      </c>
      <c r="P34">
        <f>'1040 W4 PLANNER 2026'!S21+'1040 W4 PLANNER 2026'!S22</f>
        <v>0</v>
      </c>
    </row>
    <row r="35" spans="1:16" ht="15.75" thickBot="1">
      <c r="A35" s="39">
        <v>36</v>
      </c>
      <c r="B35" s="2" t="s">
        <v>197</v>
      </c>
      <c r="C35" s="25"/>
      <c r="D35" s="47">
        <f>IF(C33-D32&gt;0,C33-D32,0)</f>
        <v>0</v>
      </c>
      <c r="G35" s="107">
        <f>'1040 W4 PLANNER 2026'!C34</f>
        <v>0</v>
      </c>
      <c r="H35">
        <f>'1040 W4 PLANNER 2026'!G34</f>
        <v>0</v>
      </c>
      <c r="I35">
        <f>'1040 W4 PLANNER 2026'!H34</f>
        <v>0</v>
      </c>
      <c r="J35">
        <f>'1040 W4 PLANNER 2026'!I34</f>
        <v>0</v>
      </c>
      <c r="K35">
        <f>'1040 W4 PLANNER 2026'!O34</f>
        <v>0</v>
      </c>
      <c r="L35">
        <f>K35*J35</f>
        <v>0</v>
      </c>
      <c r="M35" s="108">
        <f>IF(H35="X",L35,0)</f>
        <v>0</v>
      </c>
      <c r="O35" s="147">
        <f>ROUND(O34*0.2,0)</f>
        <v>0</v>
      </c>
    </row>
    <row r="36" spans="1:16">
      <c r="G36" s="107">
        <f>'1040 W4 PLANNER 2026'!C35</f>
        <v>0</v>
      </c>
      <c r="H36">
        <f>'1040 W4 PLANNER 2026'!G35</f>
        <v>0</v>
      </c>
      <c r="I36">
        <f>'1040 W4 PLANNER 2026'!H35</f>
        <v>0</v>
      </c>
      <c r="J36">
        <f>'1040 W4 PLANNER 2026'!I35</f>
        <v>0</v>
      </c>
      <c r="K36">
        <f>'1040 W4 PLANNER 2026'!O35</f>
        <v>0</v>
      </c>
      <c r="L36">
        <f>K36*J36</f>
        <v>0</v>
      </c>
      <c r="M36" s="108">
        <f>IF(H36="X",L36,0)</f>
        <v>0</v>
      </c>
    </row>
    <row r="37" spans="1:16">
      <c r="G37" s="107">
        <f>'1040 W4 PLANNER 2026'!C36</f>
        <v>0</v>
      </c>
      <c r="H37">
        <f>'1040 W4 PLANNER 2026'!G36</f>
        <v>0</v>
      </c>
      <c r="I37">
        <f>'1040 W4 PLANNER 2026'!H36</f>
        <v>0</v>
      </c>
      <c r="J37">
        <f>'1040 W4 PLANNER 2026'!I36</f>
        <v>0</v>
      </c>
      <c r="K37">
        <f>'1040 W4 PLANNER 2026'!O36</f>
        <v>0</v>
      </c>
      <c r="L37">
        <f>K37*J37</f>
        <v>0</v>
      </c>
      <c r="M37" s="108">
        <f>IF(H37="X",L37,0)</f>
        <v>0</v>
      </c>
      <c r="O37" s="34">
        <f>IF(O35&gt;P34,P34,O35)</f>
        <v>0</v>
      </c>
    </row>
    <row r="38" spans="1:16">
      <c r="G38" s="107">
        <f>'1040 W4 PLANNER 2026'!C37</f>
        <v>0</v>
      </c>
      <c r="H38">
        <f>'1040 W4 PLANNER 2026'!G37</f>
        <v>0</v>
      </c>
      <c r="I38">
        <f>'1040 W4 PLANNER 2026'!H37</f>
        <v>0</v>
      </c>
      <c r="J38">
        <f>'1040 W4 PLANNER 2026'!I37</f>
        <v>0</v>
      </c>
      <c r="K38">
        <f>'1040 W4 PLANNER 2026'!O37</f>
        <v>0</v>
      </c>
      <c r="L38">
        <f>K38*J38</f>
        <v>0</v>
      </c>
      <c r="M38" s="108">
        <f>IF(H38="X",L38,0)</f>
        <v>0</v>
      </c>
    </row>
    <row r="39" spans="1:16">
      <c r="G39" s="107"/>
      <c r="M39" s="108">
        <f>SUM(M34:M38)</f>
        <v>0</v>
      </c>
    </row>
    <row r="40" spans="1:16" ht="15.75" thickBot="1">
      <c r="G40" s="119"/>
      <c r="H40" s="120"/>
      <c r="I40" s="120"/>
      <c r="J40" s="120"/>
      <c r="K40" s="120"/>
      <c r="L40" s="120"/>
      <c r="M40" s="144">
        <f>ROUND(M39*0.045,0)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6</vt:i4>
      </vt:variant>
    </vt:vector>
  </HeadingPairs>
  <TitlesOfParts>
    <vt:vector size="18" baseType="lpstr">
      <vt:lpstr>1040 W4 PLANNER 2026</vt:lpstr>
      <vt:lpstr>1040 W4 PLANNER 2026 SUMMARY</vt:lpstr>
      <vt:lpstr>qbi</vt:lpstr>
      <vt:lpstr>withholding</vt:lpstr>
      <vt:lpstr>Sheet1</vt:lpstr>
      <vt:lpstr>SS PT SD SINT</vt:lpstr>
      <vt:lpstr>tax CCC CTC</vt:lpstr>
      <vt:lpstr>EIC</vt:lpstr>
      <vt:lpstr>state</vt:lpstr>
      <vt:lpstr>state withhold</vt:lpstr>
      <vt:lpstr>lists</vt:lpstr>
      <vt:lpstr>list 2</vt:lpstr>
      <vt:lpstr>Blind</vt:lpstr>
      <vt:lpstr>married</vt:lpstr>
      <vt:lpstr>pay_period</vt:lpstr>
      <vt:lpstr>payperiod</vt:lpstr>
      <vt:lpstr>'1040 W4 PLANNER 2026'!Print_Area</vt:lpstr>
      <vt:lpstr>status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McKay</dc:creator>
  <cp:lastModifiedBy>Richard McKay</cp:lastModifiedBy>
  <cp:lastPrinted>2025-11-15T03:55:57Z</cp:lastPrinted>
  <dcterms:created xsi:type="dcterms:W3CDTF">2011-11-06T23:02:43Z</dcterms:created>
  <dcterms:modified xsi:type="dcterms:W3CDTF">2026-01-07T04:22:39Z</dcterms:modified>
</cp:coreProperties>
</file>